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3784" yWindow="64156" windowWidth="20616" windowHeight="11640" tabRatio="568" firstSheet="9" activeTab="9"/>
  </bookViews>
  <sheets>
    <sheet name="5-2012-BY" sheetId="73" state="hidden" r:id="rId1"/>
    <sheet name="6-2012-BY" sheetId="74" state="hidden" r:id="rId2"/>
    <sheet name="7-2012-BY" sheetId="75" state="hidden" r:id="rId3"/>
    <sheet name="8-2012-BY" sheetId="76" state="hidden" r:id="rId4"/>
    <sheet name="9-2012-BY" sheetId="77" state="hidden" r:id="rId5"/>
    <sheet name="10-2012-BY" sheetId="78" state="hidden" r:id="rId6"/>
    <sheet name="MAY-OCT BASE YEAR 2012" sheetId="56" state="hidden" r:id="rId7"/>
    <sheet name="11-2012 to 4-2013 BP" sheetId="79" state="hidden" r:id="rId8"/>
    <sheet name="SMELTER RECAP 2012" sheetId="80" state="hidden" r:id="rId9"/>
    <sheet name="SC 2-8" sheetId="83" r:id="rId10"/>
    <sheet name="backup(a)" sheetId="81" state="hidden" r:id="rId11"/>
    <sheet name="backup (b)" sheetId="82" state="hidden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5">'10-2012-BY'!$A$1:$T$32</definedName>
    <definedName name="_xlnm.Print_Area" localSheetId="7">'11-2012 to 4-2013 BP'!$A$1:$S$42</definedName>
    <definedName name="_xlnm.Print_Area" localSheetId="0">'5-2012-BY'!$A$1:$T$32</definedName>
    <definedName name="_xlnm.Print_Area" localSheetId="1">'6-2012-BY'!$A$1:$T$32</definedName>
    <definedName name="_xlnm.Print_Area" localSheetId="2">'7-2012-BY'!$A$1:$T$32</definedName>
    <definedName name="_xlnm.Print_Area" localSheetId="3">'8-2012-BY'!$A$1:$T$32</definedName>
    <definedName name="_xlnm.Print_Area" localSheetId="4">'9-2012-BY'!$A$1:$T$32</definedName>
    <definedName name="_xlnm.Print_Area" localSheetId="11">'backup (b)'!$A$1:$X$114</definedName>
    <definedName name="_xlnm.Print_Area" localSheetId="10">'backup(a)'!$A$1:$X$95</definedName>
    <definedName name="_xlnm.Print_Area" localSheetId="6">'MAY-OCT BASE YEAR 2012'!$A$1:$T$31</definedName>
    <definedName name="_xlnm.Print_Area" localSheetId="9">'SC 2-8'!$A$1:$F$19</definedName>
    <definedName name="_xlnm.Print_Area" localSheetId="8">'SMELTER RECAP 2012'!$A$1:$AN$38</definedName>
    <definedName name="_xlnm.Print_Titles" localSheetId="0">'5-2012-BY'!$A:$A,'5-2012-BY'!$1:$1</definedName>
    <definedName name="_xlnm.Print_Titles" localSheetId="1">'6-2012-BY'!$A:$A,'6-2012-BY'!$1:$1</definedName>
    <definedName name="_xlnm.Print_Titles" localSheetId="2">'7-2012-BY'!$A:$A,'7-2012-BY'!$1:$1</definedName>
    <definedName name="_xlnm.Print_Titles" localSheetId="3">'8-2012-BY'!$A:$A,'8-2012-BY'!$1:$1</definedName>
    <definedName name="_xlnm.Print_Titles" localSheetId="4">'9-2012-BY'!$A:$A,'9-2012-BY'!$1:$1</definedName>
    <definedName name="_xlnm.Print_Titles" localSheetId="5">'10-2012-BY'!$A:$A,'10-2012-BY'!$1:$1</definedName>
    <definedName name="_xlnm.Print_Titles" localSheetId="6">'MAY-OCT BASE YEAR 2012'!$A:$A,'MAY-OCT BASE YEAR 2012'!$1:$1</definedName>
    <definedName name="_xlnm.Print_Titles" localSheetId="8">'SMELTER RECAP 2012'!$A:$A,'SMELTER RECAP 2012'!$1:$3</definedName>
  </definedNames>
  <calcPr calcId="152511"/>
</workbook>
</file>

<file path=xl/sharedStrings.xml><?xml version="1.0" encoding="utf-8"?>
<sst xmlns="http://schemas.openxmlformats.org/spreadsheetml/2006/main" count="1152" uniqueCount="97">
  <si>
    <t xml:space="preserve">BASE MONTHLY ENERGY - </t>
  </si>
  <si>
    <t>BASE FIXED ENERGY</t>
  </si>
  <si>
    <t>BASE VARIABLE ENERGY</t>
  </si>
  <si>
    <t>TIER ADJ</t>
  </si>
  <si>
    <t>CREDIT SURPLUS</t>
  </si>
  <si>
    <t>TOTAL CENTURY/ALCAN RIO TINTO</t>
  </si>
  <si>
    <t>BACKUP ENERGY</t>
  </si>
  <si>
    <t>TOTAL  KWH</t>
  </si>
  <si>
    <t>LESS SALES</t>
  </si>
  <si>
    <t>REV $ MILLS/KWH</t>
  </si>
  <si>
    <t>PLUS BACK UP ENERGY</t>
  </si>
  <si>
    <t>BALANCE AS SHOWN ON OPERATING REPORT</t>
  </si>
  <si>
    <t>SURCHARGE</t>
  </si>
  <si>
    <t>TOTAL FAC,ES, NONFAC PPA, SURCHARGE</t>
  </si>
  <si>
    <t>AMT</t>
  </si>
  <si>
    <t>MILLS</t>
  </si>
  <si>
    <t>FAC</t>
  </si>
  <si>
    <t>ES</t>
  </si>
  <si>
    <t>NONFAC PPA</t>
  </si>
  <si>
    <t>SUPPLEMENTAL</t>
  </si>
  <si>
    <t>PLUS SUPPLEMENTAL</t>
  </si>
  <si>
    <t>MAY 2012</t>
  </si>
  <si>
    <t>JUNE 2012</t>
  </si>
  <si>
    <t>JULY 2012</t>
  </si>
  <si>
    <t>AUGUST 2012</t>
  </si>
  <si>
    <t>SEPTEMBER 2012</t>
  </si>
  <si>
    <t>OCTOBER 2012</t>
  </si>
  <si>
    <t>ADJ</t>
  </si>
  <si>
    <t>CENTURY ALUMINUM</t>
  </si>
  <si>
    <t>ALCAN RIO TINTO</t>
  </si>
  <si>
    <t>May 2012 - Oct 2012</t>
  </si>
  <si>
    <t>Base Rate</t>
  </si>
  <si>
    <t>TIER Adjustment</t>
  </si>
  <si>
    <t>Total</t>
  </si>
  <si>
    <t>Non-FAC PPA</t>
  </si>
  <si>
    <t>Environmental Surcharge</t>
  </si>
  <si>
    <t>Surcharge</t>
  </si>
  <si>
    <t>TIER Related Rebate</t>
  </si>
  <si>
    <t>Effective Rate ($/ MWH)</t>
  </si>
  <si>
    <t>November-2012</t>
  </si>
  <si>
    <t>December-2012</t>
  </si>
  <si>
    <t>MWh</t>
  </si>
  <si>
    <t>Alcan</t>
  </si>
  <si>
    <t>Century</t>
  </si>
  <si>
    <t xml:space="preserve">  Total</t>
  </si>
  <si>
    <t>January-2013</t>
  </si>
  <si>
    <t>October-2012</t>
  </si>
  <si>
    <t>Revenue</t>
  </si>
  <si>
    <t>May-2012</t>
  </si>
  <si>
    <t>August-2012</t>
  </si>
  <si>
    <t>July-2012</t>
  </si>
  <si>
    <t>June-2012</t>
  </si>
  <si>
    <t>September-2012</t>
  </si>
  <si>
    <t>February-2013</t>
  </si>
  <si>
    <t>March-2013</t>
  </si>
  <si>
    <t>April-2013</t>
  </si>
  <si>
    <t>TOTALS 1-2012 THRU  12-2012</t>
  </si>
  <si>
    <t>ALCAN</t>
  </si>
  <si>
    <t>CENTURY</t>
  </si>
  <si>
    <t>TOTAL</t>
  </si>
  <si>
    <t>kWh</t>
  </si>
  <si>
    <t>Base Fixed Energy</t>
  </si>
  <si>
    <t>Base Variable Energy</t>
  </si>
  <si>
    <t>Base Monthly Energy</t>
  </si>
  <si>
    <t>Supplemental Energy</t>
  </si>
  <si>
    <t>Back-Up Energy</t>
  </si>
  <si>
    <t>Surplus Energy</t>
  </si>
  <si>
    <t>Total kwh Consumed</t>
  </si>
  <si>
    <t>$</t>
  </si>
  <si>
    <t>Tier Adjustment Charge</t>
  </si>
  <si>
    <t>Surplus Sales</t>
  </si>
  <si>
    <t>Curtailment</t>
  </si>
  <si>
    <t>Adjustments</t>
  </si>
  <si>
    <t>Total $ - Power Bill</t>
  </si>
  <si>
    <t>$/MWh consumed</t>
  </si>
  <si>
    <t>Total$ - Operating Report</t>
  </si>
  <si>
    <t>Total Energy Consumed</t>
  </si>
  <si>
    <t>Effective Rate</t>
  </si>
  <si>
    <t>Revenue $</t>
  </si>
  <si>
    <t>Total Revenue</t>
  </si>
  <si>
    <t>Supplemental</t>
  </si>
  <si>
    <t>Adjustment</t>
  </si>
  <si>
    <t>Base Period (May 2012 - Apr 2013)</t>
  </si>
  <si>
    <t>Forecasted Period (Sep 2013 - Aug 2014)</t>
  </si>
  <si>
    <t>Rates ($ / kWh)</t>
  </si>
  <si>
    <t>( b )</t>
  </si>
  <si>
    <t>( a )</t>
  </si>
  <si>
    <t>( c )</t>
  </si>
  <si>
    <t>SEPA Purchases (MWh)</t>
  </si>
  <si>
    <t>SEPA ($)</t>
  </si>
  <si>
    <t>Market Purchases (MWh)</t>
  </si>
  <si>
    <t>Market ($)</t>
  </si>
  <si>
    <t>Contractual Energy Sales (MWh)</t>
  </si>
  <si>
    <t>Contractual Energy Sales ($)</t>
  </si>
  <si>
    <t>( e )</t>
  </si>
  <si>
    <t>Spot Market Energy Sales (MWh)</t>
  </si>
  <si>
    <t>Spot Market Energy Sales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</si>
</sst>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_);[Red]\(#,##0.000000\)"/>
    <numFmt numFmtId="166" formatCode="0.0000000"/>
    <numFmt numFmtId="167" formatCode="0.000000_);\(0.000000\)"/>
    <numFmt numFmtId="168" formatCode="#,##0.000000_);\(#,##0.000000\)"/>
    <numFmt numFmtId="169" formatCode="_(&quot;$&quot;* #,##0_);_(&quot;$&quot;* \(#,##0\);_(&quot;$&quot;* &quot;-&quot;??_);_(@_)"/>
    <numFmt numFmtId="170" formatCode="_(* #,##0_);_(* \(#,##0\);_(* &quot;-&quot;??_);_(@_)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entury Schoolbook"/>
      <family val="1"/>
    </font>
    <font>
      <sz val="14"/>
      <name val="Century Schoolbook"/>
      <family val="1"/>
    </font>
    <font>
      <b/>
      <sz val="16"/>
      <color theme="0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sz val="10"/>
      <name val="Sylfaen"/>
      <family val="1"/>
    </font>
    <font>
      <sz val="10"/>
      <color indexed="8"/>
      <name val="Sylfaen"/>
      <family val="1"/>
    </font>
    <font>
      <i/>
      <sz val="10"/>
      <name val="Sylfaen"/>
      <family val="1"/>
    </font>
    <font>
      <b/>
      <sz val="9"/>
      <name val="Arial"/>
      <family val="2"/>
    </font>
    <font>
      <sz val="18"/>
      <name val="Arial"/>
      <family val="2"/>
    </font>
    <font>
      <sz val="12.5"/>
      <name val="Century Schoolbook"/>
      <family val="1"/>
    </font>
    <font>
      <u val="single"/>
      <sz val="12.5"/>
      <name val="Century Schoolbook"/>
      <family val="1"/>
    </font>
    <font>
      <b/>
      <sz val="16"/>
      <color theme="1"/>
      <name val="Century Schoolbook"/>
      <family val="1"/>
    </font>
    <font>
      <sz val="12"/>
      <name val="Century Schoolbook"/>
      <family val="1"/>
    </font>
    <font>
      <u val="single"/>
      <sz val="12"/>
      <name val="Century Schoolbook"/>
      <family val="1"/>
    </font>
    <font>
      <sz val="12"/>
      <color theme="1"/>
      <name val="Century Schoolbook"/>
      <family val="1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8" fillId="0" borderId="0" applyFont="0" applyFill="0" applyBorder="0">
      <alignment/>
      <protection/>
    </xf>
    <xf numFmtId="0" fontId="39" fillId="0" borderId="0">
      <alignment horizontal="left" vertical="center" indent="1"/>
      <protection/>
    </xf>
    <xf numFmtId="0" fontId="38" fillId="0" borderId="10" applyBorder="0">
      <alignment horizontal="right"/>
      <protection/>
    </xf>
    <xf numFmtId="0" fontId="38" fillId="0" borderId="11" applyFont="0" applyBorder="0">
      <alignment horizontal="right"/>
      <protection/>
    </xf>
    <xf numFmtId="0" fontId="38" fillId="0" borderId="12" applyFont="0" applyFill="0" applyBorder="0">
      <alignment/>
      <protection/>
    </xf>
    <xf numFmtId="0" fontId="38" fillId="0" borderId="12" applyBorder="0">
      <alignment horizontal="right"/>
      <protection/>
    </xf>
    <xf numFmtId="0" fontId="40" fillId="0" borderId="0" applyFont="0" applyFill="0" applyBorder="0" applyAlignment="0" applyProtection="0"/>
    <xf numFmtId="43" fontId="41" fillId="0" borderId="13">
      <alignment horizontal="center" wrapText="1"/>
      <protection/>
    </xf>
    <xf numFmtId="0" fontId="38" fillId="0" borderId="14" applyBorder="0">
      <alignment/>
      <protection/>
    </xf>
    <xf numFmtId="0" fontId="38" fillId="0" borderId="15" applyFill="0" applyBorder="0">
      <alignment horizontal="right"/>
      <protection/>
    </xf>
    <xf numFmtId="0" fontId="38" fillId="0" borderId="16" applyFont="0" applyBorder="0">
      <alignment horizontal="right"/>
      <protection/>
    </xf>
    <xf numFmtId="0" fontId="38" fillId="0" borderId="15" applyFont="0" applyFill="0" applyBorder="0">
      <alignment horizontal="right"/>
      <protection/>
    </xf>
    <xf numFmtId="0" fontId="38" fillId="3" borderId="10" applyFont="0" applyFill="0" applyBorder="0">
      <alignment horizontal="right"/>
      <protection/>
    </xf>
    <xf numFmtId="0" fontId="42" fillId="0" borderId="0" applyFont="0" applyFill="0" applyBorder="0">
      <alignment horizontal="right"/>
      <protection/>
    </xf>
    <xf numFmtId="0" fontId="38" fillId="0" borderId="11">
      <alignment horizontal="left"/>
      <protection/>
    </xf>
    <xf numFmtId="0" fontId="38" fillId="0" borderId="17">
      <alignment horizontal="center"/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11" applyFill="0" applyBorder="0">
      <alignment horizontal="right"/>
      <protection/>
    </xf>
    <xf numFmtId="0" fontId="42" fillId="0" borderId="0" applyFont="0" applyBorder="0">
      <alignment horizontal="center"/>
      <protection/>
    </xf>
    <xf numFmtId="0" fontId="42" fillId="0" borderId="0" applyFont="0" applyFill="0" applyBorder="0" applyAlignment="0" applyProtection="0"/>
    <xf numFmtId="0" fontId="42" fillId="0" borderId="18" applyNumberFormat="0" applyFont="0" applyFill="0" applyAlignment="0" applyProtection="0"/>
    <xf numFmtId="0" fontId="42" fillId="0" borderId="19" applyNumberFormat="0" applyFont="0" applyFill="0" applyAlignment="0" applyProtection="0"/>
    <xf numFmtId="0" fontId="42" fillId="0" borderId="20" applyNumberFormat="0" applyFont="0" applyFill="0" applyAlignment="0" applyProtection="0"/>
    <xf numFmtId="0" fontId="42" fillId="0" borderId="21" applyNumberFormat="0" applyFont="0" applyFill="0" applyAlignment="0" applyProtection="0"/>
    <xf numFmtId="0" fontId="42" fillId="0" borderId="22" applyNumberFormat="0" applyFont="0" applyFill="0" applyAlignment="0" applyProtection="0"/>
    <xf numFmtId="0" fontId="42" fillId="24" borderId="0" applyNumberFormat="0" applyFont="0" applyBorder="0" applyAlignment="0" applyProtection="0"/>
    <xf numFmtId="0" fontId="42" fillId="0" borderId="23" applyNumberFormat="0" applyFont="0" applyFill="0" applyAlignment="0" applyProtection="0"/>
    <xf numFmtId="0" fontId="42" fillId="0" borderId="24" applyNumberFormat="0" applyFont="0" applyFill="0" applyAlignment="0" applyProtection="0"/>
    <xf numFmtId="46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25" applyNumberFormat="0" applyFont="0" applyFill="0" applyAlignment="0" applyProtection="0"/>
    <xf numFmtId="0" fontId="42" fillId="0" borderId="26" applyNumberFormat="0" applyFont="0" applyFill="0" applyAlignment="0" applyProtection="0"/>
    <xf numFmtId="0" fontId="42" fillId="0" borderId="7" applyNumberFormat="0" applyFont="0" applyFill="0" applyAlignment="0" applyProtection="0"/>
    <xf numFmtId="0" fontId="42" fillId="0" borderId="27" applyNumberFormat="0" applyFont="0" applyFill="0" applyAlignment="0" applyProtection="0"/>
    <xf numFmtId="0" fontId="42" fillId="0" borderId="7" applyNumberFormat="0" applyFont="0" applyFill="0" applyAlignment="0" applyProtection="0"/>
    <xf numFmtId="0" fontId="42" fillId="0" borderId="0" applyNumberFormat="0" applyFont="0" applyFill="0" applyBorder="0" applyProtection="0">
      <alignment horizontal="center"/>
    </xf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42" fillId="24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28" applyNumberFormat="0" applyFont="0" applyFill="0" applyAlignment="0" applyProtection="0"/>
    <xf numFmtId="0" fontId="42" fillId="0" borderId="29" applyNumberFormat="0" applyFont="0" applyFill="0" applyAlignment="0" applyProtection="0"/>
    <xf numFmtId="0" fontId="42" fillId="0" borderId="0" applyFont="0" applyFill="0" applyBorder="0" applyAlignment="0" applyProtection="0"/>
    <xf numFmtId="0" fontId="42" fillId="0" borderId="30" applyNumberFormat="0" applyFont="0" applyFill="0" applyAlignment="0" applyProtection="0"/>
    <xf numFmtId="0" fontId="42" fillId="0" borderId="31" applyNumberFormat="0" applyFont="0" applyFill="0" applyAlignment="0" applyProtection="0"/>
    <xf numFmtId="0" fontId="42" fillId="0" borderId="32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4" applyNumberFormat="0" applyFont="0" applyFill="0" applyAlignment="0" applyProtection="0"/>
    <xf numFmtId="0" fontId="0" fillId="0" borderId="0" applyNumberFormat="0" applyFill="0" applyBorder="0" applyAlignment="0" applyProtection="0"/>
    <xf numFmtId="43" fontId="38" fillId="0" borderId="0">
      <alignment horizontal="left"/>
      <protection/>
    </xf>
    <xf numFmtId="0" fontId="1" fillId="0" borderId="0">
      <alignment/>
      <protection/>
    </xf>
  </cellStyleXfs>
  <cellXfs count="504">
    <xf numFmtId="0" fontId="0" fillId="0" borderId="0" xfId="0"/>
    <xf numFmtId="0" fontId="2" fillId="0" borderId="0" xfId="0" applyFont="1"/>
    <xf numFmtId="37" fontId="2" fillId="0" borderId="0" xfId="0" applyNumberFormat="1" applyFont="1" applyProtection="1">
      <protection/>
    </xf>
    <xf numFmtId="0" fontId="3" fillId="0" borderId="0" xfId="0" applyFont="1"/>
    <xf numFmtId="0" fontId="6" fillId="0" borderId="0" xfId="0" applyFont="1"/>
    <xf numFmtId="0" fontId="3" fillId="24" borderId="0" xfId="0" applyFont="1" applyFill="1"/>
    <xf numFmtId="0" fontId="2" fillId="24" borderId="0" xfId="0" applyFont="1" applyFill="1"/>
    <xf numFmtId="37" fontId="2" fillId="24" borderId="0" xfId="0" applyNumberFormat="1" applyFont="1" applyFill="1" applyProtection="1">
      <protection/>
    </xf>
    <xf numFmtId="37" fontId="3" fillId="24" borderId="0" xfId="0" applyNumberFormat="1" applyFont="1" applyFill="1" applyProtection="1">
      <protection/>
    </xf>
    <xf numFmtId="40" fontId="5" fillId="24" borderId="0" xfId="0" applyNumberFormat="1" applyFont="1" applyFill="1" applyProtection="1">
      <protection/>
    </xf>
    <xf numFmtId="40" fontId="5" fillId="24" borderId="0" xfId="0" applyNumberFormat="1" applyFont="1" applyFill="1"/>
    <xf numFmtId="0" fontId="3" fillId="24" borderId="0" xfId="0" applyFont="1" applyFill="1" applyAlignment="1">
      <alignment/>
    </xf>
    <xf numFmtId="40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2" borderId="0" xfId="0" applyFont="1" applyFill="1" applyBorder="1"/>
    <xf numFmtId="40" fontId="8" fillId="22" borderId="0" xfId="0" applyNumberFormat="1" applyFont="1" applyFill="1" applyBorder="1" applyAlignment="1" applyProtection="1">
      <alignment horizontal="fill"/>
      <protection/>
    </xf>
    <xf numFmtId="37" fontId="9" fillId="22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>
      <alignment wrapText="1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/>
    <xf numFmtId="0" fontId="2" fillId="24" borderId="0" xfId="0" applyFont="1" applyFill="1" applyBorder="1"/>
    <xf numFmtId="0" fontId="4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165" fontId="3" fillId="24" borderId="0" xfId="0" applyNumberFormat="1" applyFont="1" applyFill="1" applyAlignment="1">
      <alignment/>
    </xf>
    <xf numFmtId="40" fontId="3" fillId="24" borderId="0" xfId="0" applyNumberFormat="1" applyFont="1" applyFill="1" applyAlignment="1">
      <alignment/>
    </xf>
    <xf numFmtId="40" fontId="4" fillId="24" borderId="0" xfId="0" applyNumberFormat="1" applyFont="1" applyFill="1"/>
    <xf numFmtId="37" fontId="3" fillId="0" borderId="0" xfId="0" applyNumberFormat="1" applyFont="1" applyProtection="1">
      <protection/>
    </xf>
    <xf numFmtId="40" fontId="11" fillId="24" borderId="0" xfId="0" applyNumberFormat="1" applyFont="1" applyFill="1" applyAlignment="1">
      <alignment/>
    </xf>
    <xf numFmtId="40" fontId="11" fillId="24" borderId="0" xfId="0" applyNumberFormat="1" applyFont="1" applyFill="1" applyBorder="1" applyAlignment="1">
      <alignment/>
    </xf>
    <xf numFmtId="40" fontId="7" fillId="24" borderId="0" xfId="0" applyNumberFormat="1" applyFont="1" applyFill="1" applyBorder="1" applyAlignment="1">
      <alignment/>
    </xf>
    <xf numFmtId="40" fontId="3" fillId="24" borderId="0" xfId="0" applyNumberFormat="1" applyFont="1" applyFill="1" applyProtection="1">
      <protection/>
    </xf>
    <xf numFmtId="0" fontId="10" fillId="24" borderId="0" xfId="0" applyFont="1" applyFill="1" applyBorder="1" applyAlignment="1">
      <alignment wrapText="1"/>
    </xf>
    <xf numFmtId="40" fontId="5" fillId="24" borderId="35" xfId="0" applyNumberFormat="1" applyFont="1" applyFill="1" applyBorder="1" applyAlignment="1" applyProtection="1">
      <alignment horizontal="center" wrapText="1"/>
      <protection/>
    </xf>
    <xf numFmtId="40" fontId="3" fillId="24" borderId="0" xfId="0" applyNumberFormat="1" applyFont="1" applyFill="1" applyBorder="1" applyProtection="1">
      <protection/>
    </xf>
    <xf numFmtId="40" fontId="11" fillId="24" borderId="0" xfId="0" applyNumberFormat="1" applyFont="1" applyFill="1"/>
    <xf numFmtId="37" fontId="5" fillId="24" borderId="35" xfId="0" applyNumberFormat="1" applyFont="1" applyFill="1" applyBorder="1" applyAlignment="1" applyProtection="1">
      <alignment horizontal="fill"/>
      <protection/>
    </xf>
    <xf numFmtId="0" fontId="11" fillId="24" borderId="0" xfId="0" applyFont="1" applyFill="1"/>
    <xf numFmtId="37" fontId="11" fillId="24" borderId="0" xfId="0" applyNumberFormat="1" applyFont="1" applyFill="1" applyProtection="1">
      <protection/>
    </xf>
    <xf numFmtId="40" fontId="11" fillId="24" borderId="0" xfId="0" applyNumberFormat="1" applyFont="1" applyFill="1" applyProtection="1">
      <protection/>
    </xf>
    <xf numFmtId="37" fontId="5" fillId="24" borderId="0" xfId="0" applyNumberFormat="1" applyFont="1" applyFill="1" applyProtection="1">
      <protection/>
    </xf>
    <xf numFmtId="40" fontId="11" fillId="24" borderId="0" xfId="0" applyNumberFormat="1" applyFont="1" applyFill="1" applyProtection="1">
      <protection/>
    </xf>
    <xf numFmtId="37" fontId="12" fillId="24" borderId="0" xfId="0" applyNumberFormat="1" applyFont="1" applyFill="1" applyProtection="1">
      <protection/>
    </xf>
    <xf numFmtId="40" fontId="11" fillId="24" borderId="36" xfId="0" applyNumberFormat="1" applyFont="1" applyFill="1" applyBorder="1" applyAlignment="1" applyProtection="1">
      <alignment horizontal="right"/>
      <protection/>
    </xf>
    <xf numFmtId="40" fontId="11" fillId="24" borderId="36" xfId="0" applyNumberFormat="1" applyFont="1" applyFill="1" applyBorder="1" applyAlignment="1" applyProtection="1">
      <alignment vertical="center"/>
      <protection/>
    </xf>
    <xf numFmtId="164" fontId="1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Alignment="1" quotePrefix="1">
      <alignment horizontal="center"/>
    </xf>
    <xf numFmtId="0" fontId="5" fillId="24" borderId="35" xfId="0" applyFont="1" applyFill="1" applyBorder="1" applyAlignment="1">
      <alignment horizontal="center"/>
    </xf>
    <xf numFmtId="40" fontId="5" fillId="24" borderId="35" xfId="0" applyNumberFormat="1" applyFont="1" applyFill="1" applyBorder="1" applyAlignment="1" applyProtection="1">
      <alignment horizontal="center"/>
      <protection/>
    </xf>
    <xf numFmtId="40" fontId="5" fillId="24" borderId="0" xfId="0" applyNumberFormat="1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>
      <alignment wrapText="1"/>
    </xf>
    <xf numFmtId="37" fontId="2" fillId="24" borderId="0" xfId="0" applyNumberFormat="1" applyFont="1" applyFill="1" applyBorder="1" applyProtection="1">
      <protection/>
    </xf>
    <xf numFmtId="37" fontId="3" fillId="24" borderId="0" xfId="0" applyNumberFormat="1" applyFont="1" applyFill="1" applyBorder="1" applyProtection="1">
      <protection/>
    </xf>
    <xf numFmtId="0" fontId="2" fillId="0" borderId="0" xfId="0" applyFont="1" applyBorder="1"/>
    <xf numFmtId="40" fontId="5" fillId="24" borderId="0" xfId="0" applyNumberFormat="1" applyFont="1" applyFill="1" applyBorder="1" applyAlignment="1" applyProtection="1">
      <alignment horizontal="center"/>
      <protection/>
    </xf>
    <xf numFmtId="40" fontId="4" fillId="24" borderId="0" xfId="0" applyNumberFormat="1" applyFont="1" applyFill="1" applyBorder="1"/>
    <xf numFmtId="0" fontId="11" fillId="24" borderId="0" xfId="0" applyFont="1" applyFill="1" applyBorder="1"/>
    <xf numFmtId="37" fontId="11" fillId="24" borderId="0" xfId="0" applyNumberFormat="1" applyFont="1" applyFill="1" applyBorder="1" applyProtection="1">
      <protection/>
    </xf>
    <xf numFmtId="39" fontId="3" fillId="24" borderId="0" xfId="0" applyNumberFormat="1" applyFont="1" applyFill="1" applyBorder="1" applyProtection="1">
      <protection/>
    </xf>
    <xf numFmtId="165" fontId="3" fillId="24" borderId="0" xfId="0" applyNumberFormat="1" applyFont="1" applyFill="1" applyBorder="1" applyAlignment="1">
      <alignment/>
    </xf>
    <xf numFmtId="40" fontId="3" fillId="24" borderId="0" xfId="0" applyNumberFormat="1" applyFont="1" applyFill="1" applyBorder="1" applyAlignment="1">
      <alignment/>
    </xf>
    <xf numFmtId="0" fontId="15" fillId="0" borderId="0" xfId="0" applyFont="1" applyBorder="1" applyAlignment="1">
      <alignment wrapText="1"/>
    </xf>
    <xf numFmtId="39" fontId="11" fillId="24" borderId="0" xfId="0" applyNumberFormat="1" applyFont="1" applyFill="1"/>
    <xf numFmtId="39" fontId="11" fillId="24" borderId="0" xfId="0" applyNumberFormat="1" applyFont="1" applyFill="1" applyBorder="1" applyAlignment="1" applyProtection="1">
      <alignment/>
      <protection/>
    </xf>
    <xf numFmtId="164" fontId="5" fillId="24" borderId="0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/>
    <xf numFmtId="37" fontId="5" fillId="24" borderId="0" xfId="0" applyNumberFormat="1" applyFont="1" applyFill="1" applyProtection="1">
      <protection/>
    </xf>
    <xf numFmtId="0" fontId="4" fillId="0" borderId="0" xfId="0" applyFont="1" applyAlignment="1">
      <alignment/>
    </xf>
    <xf numFmtId="0" fontId="16" fillId="24" borderId="0" xfId="0" applyFont="1" applyFill="1" applyBorder="1" applyAlignment="1">
      <alignment wrapText="1"/>
    </xf>
    <xf numFmtId="39" fontId="11" fillId="24" borderId="0" xfId="0" applyNumberFormat="1" applyFont="1" applyFill="1" applyProtection="1">
      <protection/>
    </xf>
    <xf numFmtId="40" fontId="11" fillId="24" borderId="0" xfId="0" applyNumberFormat="1" applyFont="1" applyFill="1" applyBorder="1" applyAlignment="1" applyProtection="1">
      <alignment/>
      <protection/>
    </xf>
    <xf numFmtId="40" fontId="11" fillId="24" borderId="36" xfId="0" applyNumberFormat="1" applyFont="1" applyFill="1" applyBorder="1" applyAlignment="1" applyProtection="1">
      <alignment/>
      <protection/>
    </xf>
    <xf numFmtId="39" fontId="11" fillId="24" borderId="36" xfId="0" applyNumberFormat="1" applyFont="1" applyFill="1" applyBorder="1" applyAlignment="1" applyProtection="1">
      <alignment/>
      <protection/>
    </xf>
    <xf numFmtId="40" fontId="11" fillId="24" borderId="0" xfId="0" applyNumberFormat="1" applyFont="1" applyFill="1" applyAlignment="1" applyProtection="1">
      <alignment horizontal="right"/>
      <protection/>
    </xf>
    <xf numFmtId="40" fontId="11" fillId="24" borderId="0" xfId="0" applyNumberFormat="1" applyFont="1" applyFill="1" applyAlignment="1" applyProtection="1">
      <alignment/>
      <protection/>
    </xf>
    <xf numFmtId="40" fontId="11" fillId="24" borderId="35" xfId="0" applyNumberFormat="1" applyFont="1" applyFill="1" applyBorder="1" applyAlignment="1" applyProtection="1">
      <alignment horizontal="right"/>
      <protection/>
    </xf>
    <xf numFmtId="39" fontId="11" fillId="24" borderId="36" xfId="0" applyNumberFormat="1" applyFont="1" applyFill="1" applyBorder="1" applyAlignment="1" applyProtection="1">
      <alignment horizontal="right"/>
      <protection/>
    </xf>
    <xf numFmtId="40" fontId="17" fillId="24" borderId="0" xfId="0" applyNumberFormat="1" applyFont="1" applyFill="1"/>
    <xf numFmtId="39" fontId="11" fillId="24" borderId="0" xfId="0" applyNumberFormat="1" applyFont="1" applyFill="1" applyAlignment="1">
      <alignment/>
    </xf>
    <xf numFmtId="39" fontId="11" fillId="24" borderId="0" xfId="0" applyNumberFormat="1" applyFont="1" applyFill="1" applyBorder="1" applyAlignment="1">
      <alignment/>
    </xf>
    <xf numFmtId="40" fontId="11" fillId="24" borderId="36" xfId="0" applyNumberFormat="1" applyFont="1" applyFill="1" applyBorder="1" applyProtection="1">
      <protection/>
    </xf>
    <xf numFmtId="39" fontId="11" fillId="24" borderId="36" xfId="0" applyNumberFormat="1" applyFont="1" applyFill="1" applyBorder="1" applyProtection="1">
      <protection/>
    </xf>
    <xf numFmtId="0" fontId="11" fillId="24" borderId="0" xfId="0" applyFont="1" applyFill="1" applyAlignment="1">
      <alignment/>
    </xf>
    <xf numFmtId="40" fontId="11" fillId="24" borderId="0" xfId="0" applyNumberFormat="1" applyFont="1" applyFill="1" applyAlignment="1">
      <alignment wrapText="1"/>
    </xf>
    <xf numFmtId="0" fontId="11" fillId="24" borderId="0" xfId="0" applyFont="1" applyFill="1" applyAlignment="1">
      <alignment wrapText="1"/>
    </xf>
    <xf numFmtId="40" fontId="16" fillId="24" borderId="0" xfId="0" applyNumberFormat="1" applyFont="1" applyFill="1" applyProtection="1">
      <protection/>
    </xf>
    <xf numFmtId="37" fontId="16" fillId="24" borderId="0" xfId="0" applyNumberFormat="1" applyFont="1" applyFill="1" applyProtection="1">
      <protection/>
    </xf>
    <xf numFmtId="40" fontId="11" fillId="24" borderId="0" xfId="0" applyNumberFormat="1" applyFont="1" applyFill="1" applyAlignment="1" applyProtection="1">
      <alignment horizontal="fill"/>
      <protection/>
    </xf>
    <xf numFmtId="39" fontId="11" fillId="24" borderId="0" xfId="0" applyNumberFormat="1" applyFont="1" applyFill="1" applyAlignment="1" applyProtection="1">
      <alignment/>
      <protection/>
    </xf>
    <xf numFmtId="0" fontId="16" fillId="24" borderId="0" xfId="0" applyFont="1" applyFill="1"/>
    <xf numFmtId="0" fontId="16" fillId="24" borderId="0" xfId="0" applyFont="1" applyFill="1" applyBorder="1"/>
    <xf numFmtId="40" fontId="16" fillId="24" borderId="0" xfId="0" applyNumberFormat="1" applyFont="1" applyFill="1"/>
    <xf numFmtId="165" fontId="11" fillId="24" borderId="0" xfId="0" applyNumberFormat="1" applyFont="1" applyFill="1" applyAlignment="1">
      <alignment/>
    </xf>
    <xf numFmtId="0" fontId="16" fillId="24" borderId="0" xfId="0" applyFont="1" applyFill="1" applyBorder="1" applyAlignment="1">
      <alignment/>
    </xf>
    <xf numFmtId="40" fontId="16" fillId="24" borderId="0" xfId="0" applyNumberFormat="1" applyFont="1" applyFill="1" applyAlignment="1" applyProtection="1">
      <alignment horizontal="fill"/>
      <protection locked="0"/>
    </xf>
    <xf numFmtId="40" fontId="16" fillId="24" borderId="0" xfId="0" applyNumberFormat="1" applyFont="1" applyFill="1" applyBorder="1" applyAlignment="1" applyProtection="1">
      <alignment horizontal="fill"/>
      <protection locked="0"/>
    </xf>
    <xf numFmtId="0" fontId="11" fillId="24" borderId="0" xfId="0" applyFont="1" applyFill="1" applyAlignment="1">
      <alignment horizontal="center"/>
    </xf>
    <xf numFmtId="40" fontId="3" fillId="24" borderId="0" xfId="0" applyNumberFormat="1" applyFont="1" applyFill="1"/>
    <xf numFmtId="40" fontId="2" fillId="24" borderId="0" xfId="0" applyNumberFormat="1" applyFont="1" applyFill="1"/>
    <xf numFmtId="0" fontId="2" fillId="25" borderId="0" xfId="0" applyFont="1" applyFill="1"/>
    <xf numFmtId="0" fontId="2" fillId="25" borderId="0" xfId="0" applyFont="1" applyFill="1" applyBorder="1"/>
    <xf numFmtId="0" fontId="5" fillId="25" borderId="0" xfId="0" applyFont="1" applyFill="1"/>
    <xf numFmtId="0" fontId="11" fillId="25" borderId="0" xfId="0" applyFont="1" applyFill="1" applyAlignment="1" quotePrefix="1">
      <alignment horizontal="center"/>
    </xf>
    <xf numFmtId="0" fontId="3" fillId="25" borderId="0" xfId="0" applyFont="1" applyFill="1" applyBorder="1"/>
    <xf numFmtId="164" fontId="5" fillId="25" borderId="0" xfId="0" applyNumberFormat="1" applyFont="1" applyFill="1" applyBorder="1" applyAlignment="1" applyProtection="1">
      <alignment horizontal="center"/>
      <protection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 wrapText="1"/>
    </xf>
    <xf numFmtId="164" fontId="5" fillId="25" borderId="0" xfId="0" applyNumberFormat="1" applyFont="1" applyFill="1" applyBorder="1"/>
    <xf numFmtId="167" fontId="5" fillId="25" borderId="0" xfId="0" applyNumberFormat="1" applyFont="1" applyFill="1" applyBorder="1" applyAlignment="1" applyProtection="1">
      <alignment horizontal="center"/>
      <protection/>
    </xf>
    <xf numFmtId="164" fontId="13" fillId="25" borderId="0" xfId="0" applyNumberFormat="1" applyFont="1" applyFill="1" applyBorder="1" applyAlignment="1" applyProtection="1">
      <alignment horizontal="center"/>
      <protection/>
    </xf>
    <xf numFmtId="0" fontId="3" fillId="25" borderId="0" xfId="0" applyFont="1" applyFill="1" applyAlignment="1" quotePrefix="1">
      <alignment horizontal="center"/>
    </xf>
    <xf numFmtId="0" fontId="15" fillId="25" borderId="0" xfId="0" applyFont="1" applyFill="1" applyBorder="1" applyAlignment="1">
      <alignment wrapText="1"/>
    </xf>
    <xf numFmtId="0" fontId="11" fillId="25" borderId="0" xfId="0" applyFont="1" applyFill="1" applyBorder="1"/>
    <xf numFmtId="0" fontId="3" fillId="25" borderId="0" xfId="0" applyFont="1" applyFill="1"/>
    <xf numFmtId="37" fontId="5" fillId="25" borderId="35" xfId="0" applyNumberFormat="1" applyFont="1" applyFill="1" applyBorder="1" applyAlignment="1" applyProtection="1">
      <alignment horizontal="fill"/>
      <protection/>
    </xf>
    <xf numFmtId="40" fontId="5" fillId="25" borderId="0" xfId="0" applyNumberFormat="1" applyFont="1" applyFill="1" applyBorder="1" applyAlignment="1" applyProtection="1">
      <alignment horizontal="center" wrapText="1"/>
      <protection/>
    </xf>
    <xf numFmtId="0" fontId="5" fillId="25" borderId="35" xfId="0" applyFont="1" applyFill="1" applyBorder="1" applyAlignment="1">
      <alignment horizontal="center"/>
    </xf>
    <xf numFmtId="40" fontId="5" fillId="25" borderId="35" xfId="0" applyNumberFormat="1" applyFont="1" applyFill="1" applyBorder="1" applyAlignment="1" applyProtection="1">
      <alignment horizontal="center" wrapText="1"/>
      <protection/>
    </xf>
    <xf numFmtId="40" fontId="5" fillId="25" borderId="35" xfId="0" applyNumberFormat="1" applyFont="1" applyFill="1" applyBorder="1" applyAlignment="1" applyProtection="1">
      <alignment horizontal="center"/>
      <protection/>
    </xf>
    <xf numFmtId="40" fontId="5" fillId="25" borderId="0" xfId="0" applyNumberFormat="1" applyFont="1" applyFill="1" applyBorder="1" applyAlignment="1" applyProtection="1">
      <alignment horizontal="center"/>
      <protection/>
    </xf>
    <xf numFmtId="37" fontId="3" fillId="25" borderId="0" xfId="0" applyNumberFormat="1" applyFont="1" applyFill="1" applyProtection="1">
      <protection/>
    </xf>
    <xf numFmtId="0" fontId="6" fillId="25" borderId="0" xfId="0" applyFont="1" applyFill="1"/>
    <xf numFmtId="0" fontId="0" fillId="25" borderId="0" xfId="0" applyFill="1"/>
    <xf numFmtId="40" fontId="8" fillId="25" borderId="0" xfId="0" applyNumberFormat="1" applyFont="1" applyFill="1" applyBorder="1" applyAlignment="1" applyProtection="1">
      <alignment horizontal="fill"/>
      <protection/>
    </xf>
    <xf numFmtId="3" fontId="11" fillId="25" borderId="0" xfId="0" applyNumberFormat="1" applyFont="1" applyFill="1" applyAlignment="1" applyProtection="1">
      <alignment/>
      <protection/>
    </xf>
    <xf numFmtId="37" fontId="11" fillId="25" borderId="0" xfId="0" applyNumberFormat="1" applyFont="1" applyFill="1" applyAlignment="1" applyProtection="1">
      <alignment/>
      <protection/>
    </xf>
    <xf numFmtId="37" fontId="11" fillId="25" borderId="0" xfId="0" applyNumberFormat="1" applyFont="1" applyFill="1" applyAlignment="1" applyProtection="1">
      <alignment horizontal="right"/>
      <protection/>
    </xf>
    <xf numFmtId="40" fontId="11" fillId="25" borderId="0" xfId="0" applyNumberFormat="1" applyFont="1" applyFill="1" applyAlignment="1">
      <alignment/>
    </xf>
    <xf numFmtId="40" fontId="5" fillId="25" borderId="0" xfId="0" applyNumberFormat="1" applyFont="1" applyFill="1" applyBorder="1" applyAlignment="1">
      <alignment/>
    </xf>
    <xf numFmtId="39" fontId="11" fillId="25" borderId="0" xfId="0" applyNumberFormat="1" applyFont="1" applyFill="1" applyBorder="1" applyProtection="1">
      <protection/>
    </xf>
    <xf numFmtId="40" fontId="11" fillId="25" borderId="0" xfId="0" applyNumberFormat="1" applyFont="1" applyFill="1" applyBorder="1" applyAlignment="1">
      <alignment/>
    </xf>
    <xf numFmtId="40" fontId="11" fillId="25" borderId="0" xfId="0" applyNumberFormat="1" applyFont="1" applyFill="1" applyBorder="1" applyAlignment="1" applyProtection="1">
      <alignment/>
      <protection/>
    </xf>
    <xf numFmtId="39" fontId="11" fillId="25" borderId="0" xfId="0" applyNumberFormat="1" applyFont="1" applyFill="1" applyBorder="1" applyAlignment="1" applyProtection="1">
      <alignment/>
      <protection/>
    </xf>
    <xf numFmtId="39" fontId="11" fillId="25" borderId="0" xfId="0" applyNumberFormat="1" applyFont="1" applyFill="1" applyAlignment="1">
      <alignment/>
    </xf>
    <xf numFmtId="39" fontId="11" fillId="25" borderId="0" xfId="0" applyNumberFormat="1" applyFont="1" applyFill="1" applyBorder="1" applyAlignment="1">
      <alignment/>
    </xf>
    <xf numFmtId="40" fontId="11" fillId="25" borderId="0" xfId="0" applyNumberFormat="1" applyFont="1" applyFill="1" applyAlignment="1" applyProtection="1">
      <alignment horizontal="right"/>
      <protection/>
    </xf>
    <xf numFmtId="3" fontId="11" fillId="25" borderId="35" xfId="0" applyNumberFormat="1" applyFont="1" applyFill="1" applyBorder="1" applyAlignment="1" applyProtection="1">
      <alignment/>
      <protection/>
    </xf>
    <xf numFmtId="37" fontId="11" fillId="25" borderId="35" xfId="0" applyNumberFormat="1" applyFont="1" applyFill="1" applyBorder="1" applyAlignment="1" applyProtection="1">
      <alignment/>
      <protection/>
    </xf>
    <xf numFmtId="37" fontId="11" fillId="25" borderId="35" xfId="0" applyNumberFormat="1" applyFont="1" applyFill="1" applyBorder="1" applyAlignment="1" applyProtection="1">
      <alignment horizontal="right"/>
      <protection/>
    </xf>
    <xf numFmtId="40" fontId="11" fillId="25" borderId="35" xfId="0" applyNumberFormat="1" applyFont="1" applyFill="1" applyBorder="1" applyAlignment="1" applyProtection="1">
      <alignment/>
      <protection/>
    </xf>
    <xf numFmtId="3" fontId="11" fillId="25" borderId="36" xfId="0" applyNumberFormat="1" applyFont="1" applyFill="1" applyBorder="1" applyAlignment="1" applyProtection="1">
      <alignment/>
      <protection/>
    </xf>
    <xf numFmtId="37" fontId="11" fillId="25" borderId="36" xfId="0" applyNumberFormat="1" applyFont="1" applyFill="1" applyBorder="1" applyAlignment="1" applyProtection="1">
      <alignment horizontal="right"/>
      <protection/>
    </xf>
    <xf numFmtId="40" fontId="11" fillId="25" borderId="36" xfId="0" applyNumberFormat="1" applyFont="1" applyFill="1" applyBorder="1" applyAlignment="1" applyProtection="1">
      <alignment/>
      <protection/>
    </xf>
    <xf numFmtId="39" fontId="11" fillId="25" borderId="36" xfId="0" applyNumberFormat="1" applyFont="1" applyFill="1" applyBorder="1" applyAlignment="1" applyProtection="1">
      <alignment/>
      <protection/>
    </xf>
    <xf numFmtId="40" fontId="11" fillId="25" borderId="36" xfId="0" applyNumberFormat="1" applyFont="1" applyFill="1" applyBorder="1" applyAlignment="1" applyProtection="1">
      <alignment horizontal="right"/>
      <protection/>
    </xf>
    <xf numFmtId="37" fontId="2" fillId="25" borderId="0" xfId="0" applyNumberFormat="1" applyFont="1" applyFill="1" applyProtection="1">
      <protection/>
    </xf>
    <xf numFmtId="37" fontId="9" fillId="25" borderId="0" xfId="0" applyNumberFormat="1" applyFont="1" applyFill="1" applyBorder="1" applyAlignment="1" applyProtection="1">
      <alignment/>
      <protection/>
    </xf>
    <xf numFmtId="3" fontId="16" fillId="25" borderId="0" xfId="0" applyNumberFormat="1" applyFont="1" applyFill="1"/>
    <xf numFmtId="40" fontId="16" fillId="25" borderId="0" xfId="0" applyNumberFormat="1" applyFont="1" applyFill="1"/>
    <xf numFmtId="0" fontId="16" fillId="25" borderId="0" xfId="0" applyFont="1" applyFill="1"/>
    <xf numFmtId="40" fontId="4" fillId="25" borderId="0" xfId="0" applyNumberFormat="1" applyFont="1" applyFill="1" applyAlignment="1" applyProtection="1">
      <alignment horizontal="fill"/>
      <protection locked="0"/>
    </xf>
    <xf numFmtId="40" fontId="4" fillId="25" borderId="0" xfId="0" applyNumberFormat="1" applyFont="1" applyFill="1" applyBorder="1" applyAlignment="1" applyProtection="1">
      <alignment horizontal="fill"/>
      <protection locked="0"/>
    </xf>
    <xf numFmtId="0" fontId="4" fillId="25" borderId="0" xfId="0" applyFont="1" applyFill="1" applyBorder="1" applyAlignment="1">
      <alignment/>
    </xf>
    <xf numFmtId="40" fontId="5" fillId="25" borderId="0" xfId="0" applyNumberFormat="1" applyFont="1" applyFill="1"/>
    <xf numFmtId="0" fontId="3" fillId="25" borderId="0" xfId="0" applyFont="1" applyFill="1" applyAlignment="1">
      <alignment/>
    </xf>
    <xf numFmtId="3" fontId="5" fillId="25" borderId="0" xfId="0" applyNumberFormat="1" applyFont="1" applyFill="1" applyAlignment="1" applyProtection="1">
      <alignment horizontal="fill"/>
      <protection/>
    </xf>
    <xf numFmtId="40" fontId="5" fillId="25" borderId="0" xfId="0" applyNumberFormat="1" applyFont="1" applyFill="1" applyAlignment="1" applyProtection="1">
      <alignment horizontal="fill"/>
      <protection/>
    </xf>
    <xf numFmtId="165" fontId="3" fillId="25" borderId="0" xfId="0" applyNumberFormat="1" applyFont="1" applyFill="1" applyAlignment="1">
      <alignment/>
    </xf>
    <xf numFmtId="165" fontId="3" fillId="25" borderId="0" xfId="0" applyNumberFormat="1" applyFont="1" applyFill="1" applyBorder="1" applyAlignment="1">
      <alignment/>
    </xf>
    <xf numFmtId="40" fontId="11" fillId="25" borderId="0" xfId="0" applyNumberFormat="1" applyFont="1" applyFill="1" applyAlignment="1" applyProtection="1">
      <alignment/>
      <protection/>
    </xf>
    <xf numFmtId="40" fontId="3" fillId="25" borderId="0" xfId="0" applyNumberFormat="1" applyFont="1" applyFill="1" applyAlignment="1">
      <alignment/>
    </xf>
    <xf numFmtId="40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166" fontId="16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wrapText="1"/>
    </xf>
    <xf numFmtId="40" fontId="11" fillId="25" borderId="0" xfId="0" applyNumberFormat="1" applyFont="1" applyFill="1"/>
    <xf numFmtId="40" fontId="4" fillId="25" borderId="0" xfId="0" applyNumberFormat="1" applyFont="1" applyFill="1"/>
    <xf numFmtId="40" fontId="4" fillId="25" borderId="0" xfId="0" applyNumberFormat="1" applyFont="1" applyFill="1" applyBorder="1"/>
    <xf numFmtId="166" fontId="16" fillId="25" borderId="0" xfId="0" applyNumberFormat="1" applyFont="1" applyFill="1" applyAlignment="1">
      <alignment/>
    </xf>
    <xf numFmtId="3" fontId="11" fillId="25" borderId="0" xfId="0" applyNumberFormat="1" applyFont="1" applyFill="1" applyAlignment="1">
      <alignment/>
    </xf>
    <xf numFmtId="166" fontId="11" fillId="25" borderId="0" xfId="0" applyNumberFormat="1" applyFont="1" applyFill="1" applyAlignment="1">
      <alignment/>
    </xf>
    <xf numFmtId="3" fontId="11" fillId="25" borderId="0" xfId="0" applyNumberFormat="1" applyFont="1" applyFill="1" applyAlignment="1">
      <alignment wrapText="1"/>
    </xf>
    <xf numFmtId="40" fontId="11" fillId="25" borderId="0" xfId="0" applyNumberFormat="1" applyFont="1" applyFill="1" applyAlignment="1">
      <alignment wrapText="1"/>
    </xf>
    <xf numFmtId="0" fontId="3" fillId="25" borderId="0" xfId="0" applyFont="1" applyFill="1" applyAlignment="1">
      <alignment wrapText="1"/>
    </xf>
    <xf numFmtId="0" fontId="3" fillId="25" borderId="0" xfId="0" applyFont="1" applyFill="1" applyBorder="1" applyAlignment="1">
      <alignment wrapText="1"/>
    </xf>
    <xf numFmtId="166" fontId="11" fillId="25" borderId="0" xfId="0" applyNumberFormat="1" applyFont="1" applyFill="1" applyAlignment="1">
      <alignment wrapText="1"/>
    </xf>
    <xf numFmtId="3" fontId="16" fillId="25" borderId="0" xfId="0" applyNumberFormat="1" applyFont="1" applyFill="1" applyProtection="1">
      <protection/>
    </xf>
    <xf numFmtId="40" fontId="16" fillId="25" borderId="0" xfId="0" applyNumberFormat="1" applyFont="1" applyFill="1" applyProtection="1">
      <protection/>
    </xf>
    <xf numFmtId="37" fontId="2" fillId="25" borderId="0" xfId="0" applyNumberFormat="1" applyFont="1" applyFill="1" applyBorder="1" applyProtection="1">
      <protection/>
    </xf>
    <xf numFmtId="166" fontId="16" fillId="25" borderId="0" xfId="0" applyNumberFormat="1" applyFont="1" applyFill="1" applyProtection="1">
      <protection/>
    </xf>
    <xf numFmtId="40" fontId="11" fillId="25" borderId="0" xfId="0" applyNumberFormat="1" applyFont="1" applyFill="1" applyProtection="1">
      <protection/>
    </xf>
    <xf numFmtId="3" fontId="11" fillId="25" borderId="0" xfId="0" applyNumberFormat="1" applyFont="1" applyFill="1" applyAlignment="1" applyProtection="1">
      <alignment horizontal="fill"/>
      <protection/>
    </xf>
    <xf numFmtId="40" fontId="11" fillId="25" borderId="0" xfId="0" applyNumberFormat="1" applyFont="1" applyFill="1" applyAlignment="1" applyProtection="1">
      <alignment horizontal="fill"/>
      <protection/>
    </xf>
    <xf numFmtId="39" fontId="11" fillId="25" borderId="0" xfId="0" applyNumberFormat="1" applyFont="1" applyFill="1" applyProtection="1">
      <protection/>
    </xf>
    <xf numFmtId="39" fontId="11" fillId="25" borderId="0" xfId="0" applyNumberFormat="1" applyFont="1" applyFill="1" applyAlignment="1" applyProtection="1">
      <alignment/>
      <protection/>
    </xf>
    <xf numFmtId="39" fontId="11" fillId="25" borderId="0" xfId="0" applyNumberFormat="1" applyFont="1" applyFill="1"/>
    <xf numFmtId="40" fontId="4" fillId="25" borderId="0" xfId="0" applyNumberFormat="1" applyFont="1" applyFill="1" applyProtection="1">
      <protection/>
    </xf>
    <xf numFmtId="37" fontId="3" fillId="25" borderId="0" xfId="0" applyNumberFormat="1" applyFont="1" applyFill="1" applyBorder="1" applyProtection="1">
      <protection/>
    </xf>
    <xf numFmtId="0" fontId="3" fillId="25" borderId="0" xfId="0" applyFont="1" applyFill="1" applyAlignment="1">
      <alignment horizontal="center"/>
    </xf>
    <xf numFmtId="40" fontId="3" fillId="25" borderId="0" xfId="0" applyNumberFormat="1" applyFont="1" applyFill="1" applyProtection="1">
      <protection/>
    </xf>
    <xf numFmtId="39" fontId="3" fillId="25" borderId="0" xfId="0" applyNumberFormat="1" applyFont="1" applyFill="1" applyBorder="1" applyProtection="1">
      <protection/>
    </xf>
    <xf numFmtId="40" fontId="3" fillId="25" borderId="0" xfId="0" applyNumberFormat="1" applyFont="1" applyFill="1" applyBorder="1" applyProtection="1">
      <protection/>
    </xf>
    <xf numFmtId="40" fontId="11" fillId="25" borderId="36" xfId="0" applyNumberFormat="1" applyFont="1" applyFill="1" applyBorder="1" applyProtection="1">
      <protection/>
    </xf>
    <xf numFmtId="39" fontId="11" fillId="25" borderId="36" xfId="0" applyNumberFormat="1" applyFont="1" applyFill="1" applyBorder="1" applyProtection="1">
      <protection/>
    </xf>
    <xf numFmtId="40" fontId="17" fillId="25" borderId="0" xfId="0" applyNumberFormat="1" applyFont="1" applyFill="1"/>
    <xf numFmtId="0" fontId="11" fillId="25" borderId="0" xfId="0" applyFont="1" applyFill="1"/>
    <xf numFmtId="40" fontId="11" fillId="25" borderId="36" xfId="0" applyNumberFormat="1" applyFont="1" applyFill="1" applyBorder="1" applyAlignment="1" applyProtection="1">
      <alignment vertical="center"/>
      <protection/>
    </xf>
    <xf numFmtId="37" fontId="12" fillId="25" borderId="0" xfId="0" applyNumberFormat="1" applyFont="1" applyFill="1" applyProtection="1">
      <protection/>
    </xf>
    <xf numFmtId="40" fontId="11" fillId="25" borderId="0" xfId="0" applyNumberFormat="1" applyFont="1" applyFill="1" applyProtection="1">
      <protection/>
    </xf>
    <xf numFmtId="37" fontId="5" fillId="25" borderId="0" xfId="0" applyNumberFormat="1" applyFont="1" applyFill="1" applyProtection="1">
      <protection/>
    </xf>
    <xf numFmtId="40" fontId="7" fillId="25" borderId="0" xfId="0" applyNumberFormat="1" applyFont="1" applyFill="1" applyBorder="1" applyAlignment="1">
      <alignment/>
    </xf>
    <xf numFmtId="40" fontId="5" fillId="25" borderId="0" xfId="0" applyNumberFormat="1" applyFont="1" applyFill="1" applyBorder="1" applyAlignment="1">
      <alignment/>
    </xf>
    <xf numFmtId="0" fontId="35" fillId="25" borderId="0" xfId="0" applyFont="1" applyFill="1"/>
    <xf numFmtId="0" fontId="35" fillId="25" borderId="0" xfId="0" applyFont="1" applyFill="1" applyAlignment="1" quotePrefix="1">
      <alignment horizontal="left"/>
    </xf>
    <xf numFmtId="0" fontId="36" fillId="25" borderId="0" xfId="0" applyFont="1" applyFill="1" applyAlignment="1">
      <alignment/>
    </xf>
    <xf numFmtId="0" fontId="36" fillId="25" borderId="0" xfId="0" applyFont="1" applyFill="1"/>
    <xf numFmtId="0" fontId="35" fillId="25" borderId="0" xfId="0" applyFont="1" applyFill="1" applyAlignment="1">
      <alignment/>
    </xf>
    <xf numFmtId="0" fontId="35" fillId="25" borderId="0" xfId="0" applyFont="1" applyFill="1" applyAlignment="1">
      <alignment wrapText="1"/>
    </xf>
    <xf numFmtId="37" fontId="3" fillId="25" borderId="0" xfId="0" applyNumberFormat="1" applyFont="1" applyFill="1" applyAlignment="1" applyProtection="1">
      <alignment horizontal="center"/>
      <protection/>
    </xf>
    <xf numFmtId="37" fontId="3" fillId="25" borderId="0" xfId="0" applyNumberFormat="1" applyFont="1" applyFill="1" applyAlignment="1" applyProtection="1">
      <alignment horizontal="center" wrapText="1"/>
      <protection/>
    </xf>
    <xf numFmtId="37" fontId="3" fillId="24" borderId="0" xfId="0" applyNumberFormat="1" applyFont="1" applyFill="1" applyAlignment="1" applyProtection="1">
      <alignment horizontal="center" wrapText="1"/>
      <protection/>
    </xf>
    <xf numFmtId="37" fontId="5" fillId="24" borderId="0" xfId="0" applyNumberFormat="1" applyFont="1" applyFill="1" applyAlignment="1" applyProtection="1">
      <alignment horizontal="center" wrapText="1"/>
      <protection/>
    </xf>
    <xf numFmtId="0" fontId="5" fillId="24" borderId="0" xfId="0" applyFont="1" applyFill="1" applyAlignment="1">
      <alignment horizontal="center" wrapText="1"/>
    </xf>
    <xf numFmtId="0" fontId="3" fillId="25" borderId="0" xfId="67" applyFont="1" applyFill="1" applyBorder="1">
      <alignment/>
      <protection/>
    </xf>
    <xf numFmtId="164" fontId="5" fillId="25" borderId="0" xfId="67" applyNumberFormat="1" applyFont="1" applyFill="1" applyBorder="1" applyAlignment="1" applyProtection="1">
      <alignment horizontal="center"/>
      <protection/>
    </xf>
    <xf numFmtId="0" fontId="4" fillId="25" borderId="0" xfId="67" applyFont="1" applyFill="1" applyAlignment="1">
      <alignment/>
      <protection/>
    </xf>
    <xf numFmtId="0" fontId="4" fillId="25" borderId="0" xfId="67" applyFont="1" applyFill="1" applyBorder="1" applyAlignment="1">
      <alignment wrapText="1"/>
      <protection/>
    </xf>
    <xf numFmtId="164" fontId="5" fillId="25" borderId="0" xfId="67" applyNumberFormat="1" applyFont="1" applyFill="1" applyBorder="1">
      <alignment/>
      <protection/>
    </xf>
    <xf numFmtId="168" fontId="5" fillId="25" borderId="0" xfId="67" applyNumberFormat="1" applyFont="1" applyFill="1" applyBorder="1" applyAlignment="1" applyProtection="1">
      <alignment horizontal="center"/>
      <protection/>
    </xf>
    <xf numFmtId="0" fontId="15" fillId="25" borderId="0" xfId="67" applyFont="1" applyFill="1" applyBorder="1" applyAlignment="1">
      <alignment wrapText="1"/>
      <protection/>
    </xf>
    <xf numFmtId="0" fontId="11" fillId="25" borderId="0" xfId="67" applyFont="1" applyFill="1" applyBorder="1">
      <alignment/>
      <protection/>
    </xf>
    <xf numFmtId="0" fontId="3" fillId="25" borderId="0" xfId="67" applyFont="1" applyFill="1">
      <alignment/>
      <protection/>
    </xf>
    <xf numFmtId="37" fontId="5" fillId="25" borderId="35" xfId="67" applyNumberFormat="1" applyFont="1" applyFill="1" applyBorder="1" applyAlignment="1" applyProtection="1">
      <alignment horizontal="fill"/>
      <protection/>
    </xf>
    <xf numFmtId="40" fontId="5" fillId="25" borderId="0" xfId="67" applyNumberFormat="1" applyFont="1" applyFill="1" applyBorder="1" applyAlignment="1" applyProtection="1">
      <alignment horizontal="center" wrapText="1"/>
      <protection/>
    </xf>
    <xf numFmtId="0" fontId="5" fillId="25" borderId="35" xfId="67" applyFont="1" applyFill="1" applyBorder="1" applyAlignment="1">
      <alignment horizontal="center"/>
      <protection/>
    </xf>
    <xf numFmtId="40" fontId="5" fillId="25" borderId="35" xfId="67" applyNumberFormat="1" applyFont="1" applyFill="1" applyBorder="1" applyAlignment="1" applyProtection="1">
      <alignment horizontal="center" wrapText="1"/>
      <protection/>
    </xf>
    <xf numFmtId="40" fontId="5" fillId="25" borderId="35" xfId="67" applyNumberFormat="1" applyFont="1" applyFill="1" applyBorder="1" applyAlignment="1" applyProtection="1">
      <alignment horizontal="center"/>
      <protection/>
    </xf>
    <xf numFmtId="40" fontId="5" fillId="25" borderId="0" xfId="67" applyNumberFormat="1" applyFont="1" applyFill="1" applyBorder="1" applyAlignment="1" applyProtection="1">
      <alignment horizontal="center"/>
      <protection/>
    </xf>
    <xf numFmtId="3" fontId="11" fillId="25" borderId="0" xfId="67" applyNumberFormat="1" applyFont="1" applyFill="1" applyAlignment="1" applyProtection="1">
      <alignment/>
      <protection/>
    </xf>
    <xf numFmtId="37" fontId="11" fillId="25" borderId="0" xfId="67" applyNumberFormat="1" applyFont="1" applyFill="1" applyAlignment="1" applyProtection="1">
      <alignment/>
      <protection/>
    </xf>
    <xf numFmtId="39" fontId="11" fillId="25" borderId="0" xfId="67" applyNumberFormat="1" applyFont="1" applyFill="1" applyBorder="1" applyProtection="1">
      <alignment/>
      <protection/>
    </xf>
    <xf numFmtId="40" fontId="11" fillId="25" borderId="0" xfId="67" applyNumberFormat="1" applyFont="1" applyFill="1" applyBorder="1" applyAlignment="1">
      <alignment/>
      <protection/>
    </xf>
    <xf numFmtId="40" fontId="11" fillId="25" borderId="0" xfId="67" applyNumberFormat="1" applyFont="1" applyFill="1" applyBorder="1" applyAlignment="1" applyProtection="1">
      <alignment/>
      <protection/>
    </xf>
    <xf numFmtId="39" fontId="11" fillId="25" borderId="0" xfId="67" applyNumberFormat="1" applyFont="1" applyFill="1" applyBorder="1" applyAlignment="1" applyProtection="1">
      <alignment/>
      <protection/>
    </xf>
    <xf numFmtId="39" fontId="11" fillId="25" borderId="0" xfId="67" applyNumberFormat="1" applyFont="1" applyFill="1" applyAlignment="1">
      <alignment/>
      <protection/>
    </xf>
    <xf numFmtId="0" fontId="11" fillId="25" borderId="0" xfId="65" applyFont="1" applyFill="1" applyAlignment="1" quotePrefix="1">
      <alignment horizontal="center"/>
      <protection/>
    </xf>
    <xf numFmtId="37" fontId="11" fillId="25" borderId="0" xfId="67" applyNumberFormat="1" applyFont="1" applyFill="1" applyAlignment="1" applyProtection="1">
      <alignment horizontal="right"/>
      <protection/>
    </xf>
    <xf numFmtId="40" fontId="11" fillId="25" borderId="0" xfId="67" applyNumberFormat="1" applyFont="1" applyFill="1" applyAlignment="1">
      <alignment/>
      <protection/>
    </xf>
    <xf numFmtId="40" fontId="5" fillId="25" borderId="0" xfId="67" applyNumberFormat="1" applyFont="1" applyFill="1" applyBorder="1" applyAlignment="1">
      <alignment/>
      <protection/>
    </xf>
    <xf numFmtId="0" fontId="11" fillId="25" borderId="0" xfId="67" applyFont="1" applyFill="1" applyAlignment="1" quotePrefix="1">
      <alignment horizontal="center"/>
      <protection/>
    </xf>
    <xf numFmtId="37" fontId="11" fillId="25" borderId="0" xfId="0" applyNumberFormat="1" applyFont="1" applyFill="1" applyBorder="1" applyProtection="1">
      <protection/>
    </xf>
    <xf numFmtId="37" fontId="11" fillId="25" borderId="0" xfId="0" applyNumberFormat="1" applyFont="1" applyFill="1" applyProtection="1">
      <protection/>
    </xf>
    <xf numFmtId="0" fontId="3" fillId="25" borderId="0" xfId="0" applyFont="1" applyFill="1" applyAlignment="1">
      <alignment horizontal="center" wrapText="1"/>
    </xf>
    <xf numFmtId="168" fontId="5" fillId="25" borderId="0" xfId="0" applyNumberFormat="1" applyFont="1" applyFill="1" applyBorder="1" applyAlignment="1" applyProtection="1">
      <alignment horizontal="center"/>
      <protection/>
    </xf>
    <xf numFmtId="0" fontId="3" fillId="25" borderId="0" xfId="67" applyFont="1" applyFill="1" applyAlignment="1" quotePrefix="1">
      <alignment horizontal="center"/>
      <protection/>
    </xf>
    <xf numFmtId="164" fontId="13" fillId="25" borderId="0" xfId="67" applyNumberFormat="1" applyFont="1" applyFill="1" applyBorder="1" applyAlignment="1" applyProtection="1">
      <alignment horizontal="center"/>
      <protection/>
    </xf>
    <xf numFmtId="0" fontId="2" fillId="25" borderId="0" xfId="67" applyFont="1" applyFill="1">
      <alignment/>
      <protection/>
    </xf>
    <xf numFmtId="0" fontId="2" fillId="25" borderId="0" xfId="67" applyFont="1" applyFill="1" applyBorder="1">
      <alignment/>
      <protection/>
    </xf>
    <xf numFmtId="39" fontId="11" fillId="25" borderId="0" xfId="67" applyNumberFormat="1" applyFont="1" applyFill="1" applyBorder="1" applyAlignment="1">
      <alignment/>
      <protection/>
    </xf>
    <xf numFmtId="40" fontId="11" fillId="25" borderId="0" xfId="67" applyNumberFormat="1" applyFont="1" applyFill="1" applyAlignment="1" applyProtection="1">
      <alignment horizontal="right"/>
      <protection/>
    </xf>
    <xf numFmtId="3" fontId="11" fillId="25" borderId="35" xfId="67" applyNumberFormat="1" applyFont="1" applyFill="1" applyBorder="1" applyAlignment="1" applyProtection="1">
      <alignment/>
      <protection/>
    </xf>
    <xf numFmtId="37" fontId="11" fillId="25" borderId="35" xfId="67" applyNumberFormat="1" applyFont="1" applyFill="1" applyBorder="1" applyAlignment="1" applyProtection="1">
      <alignment/>
      <protection/>
    </xf>
    <xf numFmtId="37" fontId="11" fillId="25" borderId="35" xfId="67" applyNumberFormat="1" applyFont="1" applyFill="1" applyBorder="1" applyAlignment="1" applyProtection="1">
      <alignment horizontal="right"/>
      <protection/>
    </xf>
    <xf numFmtId="40" fontId="11" fillId="25" borderId="35" xfId="67" applyNumberFormat="1" applyFont="1" applyFill="1" applyBorder="1" applyAlignment="1" applyProtection="1">
      <alignment/>
      <protection/>
    </xf>
    <xf numFmtId="3" fontId="11" fillId="25" borderId="36" xfId="67" applyNumberFormat="1" applyFont="1" applyFill="1" applyBorder="1" applyAlignment="1" applyProtection="1">
      <alignment/>
      <protection/>
    </xf>
    <xf numFmtId="37" fontId="11" fillId="25" borderId="36" xfId="67" applyNumberFormat="1" applyFont="1" applyFill="1" applyBorder="1" applyAlignment="1" applyProtection="1">
      <alignment horizontal="right"/>
      <protection/>
    </xf>
    <xf numFmtId="40" fontId="11" fillId="25" borderId="36" xfId="67" applyNumberFormat="1" applyFont="1" applyFill="1" applyBorder="1" applyAlignment="1" applyProtection="1">
      <alignment/>
      <protection/>
    </xf>
    <xf numFmtId="39" fontId="11" fillId="25" borderId="36" xfId="67" applyNumberFormat="1" applyFont="1" applyFill="1" applyBorder="1" applyAlignment="1" applyProtection="1">
      <alignment/>
      <protection/>
    </xf>
    <xf numFmtId="40" fontId="11" fillId="25" borderId="36" xfId="67" applyNumberFormat="1" applyFont="1" applyFill="1" applyBorder="1" applyAlignment="1" applyProtection="1">
      <alignment horizontal="right"/>
      <protection/>
    </xf>
    <xf numFmtId="3" fontId="16" fillId="25" borderId="0" xfId="67" applyNumberFormat="1" applyFont="1" applyFill="1">
      <alignment/>
      <protection/>
    </xf>
    <xf numFmtId="40" fontId="16" fillId="25" borderId="0" xfId="67" applyNumberFormat="1" applyFont="1" applyFill="1">
      <alignment/>
      <protection/>
    </xf>
    <xf numFmtId="0" fontId="16" fillId="25" borderId="0" xfId="67" applyFont="1" applyFill="1">
      <alignment/>
      <protection/>
    </xf>
    <xf numFmtId="40" fontId="4" fillId="25" borderId="0" xfId="67" applyNumberFormat="1" applyFont="1" applyFill="1" applyAlignment="1" applyProtection="1">
      <alignment horizontal="fill"/>
      <protection locked="0"/>
    </xf>
    <xf numFmtId="40" fontId="4" fillId="25" borderId="0" xfId="67" applyNumberFormat="1" applyFont="1" applyFill="1" applyBorder="1" applyAlignment="1" applyProtection="1">
      <alignment horizontal="fill"/>
      <protection locked="0"/>
    </xf>
    <xf numFmtId="0" fontId="4" fillId="25" borderId="0" xfId="67" applyFont="1" applyFill="1" applyBorder="1" applyAlignment="1">
      <alignment/>
      <protection/>
    </xf>
    <xf numFmtId="40" fontId="5" fillId="25" borderId="0" xfId="67" applyNumberFormat="1" applyFont="1" applyFill="1">
      <alignment/>
      <protection/>
    </xf>
    <xf numFmtId="0" fontId="3" fillId="25" borderId="0" xfId="67" applyFont="1" applyFill="1" applyAlignment="1">
      <alignment/>
      <protection/>
    </xf>
    <xf numFmtId="3" fontId="5" fillId="25" borderId="0" xfId="67" applyNumberFormat="1" applyFont="1" applyFill="1" applyAlignment="1" applyProtection="1">
      <alignment horizontal="fill"/>
      <protection/>
    </xf>
    <xf numFmtId="40" fontId="5" fillId="25" borderId="0" xfId="67" applyNumberFormat="1" applyFont="1" applyFill="1" applyAlignment="1" applyProtection="1">
      <alignment horizontal="fill"/>
      <protection/>
    </xf>
    <xf numFmtId="165" fontId="3" fillId="25" borderId="0" xfId="67" applyNumberFormat="1" applyFont="1" applyFill="1" applyAlignment="1">
      <alignment/>
      <protection/>
    </xf>
    <xf numFmtId="165" fontId="3" fillId="25" borderId="0" xfId="67" applyNumberFormat="1" applyFont="1" applyFill="1" applyBorder="1" applyAlignment="1">
      <alignment/>
      <protection/>
    </xf>
    <xf numFmtId="40" fontId="11" fillId="25" borderId="0" xfId="67" applyNumberFormat="1" applyFont="1" applyFill="1" applyAlignment="1" applyProtection="1">
      <alignment/>
      <protection/>
    </xf>
    <xf numFmtId="40" fontId="3" fillId="25" borderId="0" xfId="67" applyNumberFormat="1" applyFont="1" applyFill="1" applyAlignment="1">
      <alignment/>
      <protection/>
    </xf>
    <xf numFmtId="40" fontId="3" fillId="25" borderId="0" xfId="67" applyNumberFormat="1" applyFont="1" applyFill="1" applyBorder="1" applyAlignment="1">
      <alignment/>
      <protection/>
    </xf>
    <xf numFmtId="0" fontId="3" fillId="25" borderId="0" xfId="67" applyFont="1" applyFill="1" applyBorder="1" applyAlignment="1">
      <alignment/>
      <protection/>
    </xf>
    <xf numFmtId="166" fontId="16" fillId="25" borderId="0" xfId="67" applyNumberFormat="1" applyFont="1" applyFill="1" applyBorder="1" applyAlignment="1">
      <alignment/>
      <protection/>
    </xf>
    <xf numFmtId="0" fontId="10" fillId="25" borderId="0" xfId="67" applyFont="1" applyFill="1" applyBorder="1" applyAlignment="1">
      <alignment wrapText="1"/>
      <protection/>
    </xf>
    <xf numFmtId="40" fontId="11" fillId="25" borderId="0" xfId="67" applyNumberFormat="1" applyFont="1" applyFill="1">
      <alignment/>
      <protection/>
    </xf>
    <xf numFmtId="40" fontId="4" fillId="25" borderId="0" xfId="67" applyNumberFormat="1" applyFont="1" applyFill="1">
      <alignment/>
      <protection/>
    </xf>
    <xf numFmtId="40" fontId="4" fillId="25" borderId="0" xfId="67" applyNumberFormat="1" applyFont="1" applyFill="1" applyBorder="1">
      <alignment/>
      <protection/>
    </xf>
    <xf numFmtId="166" fontId="16" fillId="25" borderId="0" xfId="67" applyNumberFormat="1" applyFont="1" applyFill="1" applyAlignment="1">
      <alignment/>
      <protection/>
    </xf>
    <xf numFmtId="40" fontId="37" fillId="25" borderId="0" xfId="67" applyNumberFormat="1" applyFont="1" applyFill="1">
      <alignment/>
      <protection/>
    </xf>
    <xf numFmtId="3" fontId="11" fillId="25" borderId="0" xfId="67" applyNumberFormat="1" applyFont="1" applyFill="1" applyAlignment="1">
      <alignment/>
      <protection/>
    </xf>
    <xf numFmtId="166" fontId="11" fillId="25" borderId="0" xfId="67" applyNumberFormat="1" applyFont="1" applyFill="1" applyAlignment="1">
      <alignment/>
      <protection/>
    </xf>
    <xf numFmtId="3" fontId="11" fillId="25" borderId="0" xfId="67" applyNumberFormat="1" applyFont="1" applyFill="1" applyAlignment="1">
      <alignment wrapText="1"/>
      <protection/>
    </xf>
    <xf numFmtId="40" fontId="11" fillId="25" borderId="0" xfId="67" applyNumberFormat="1" applyFont="1" applyFill="1" applyAlignment="1">
      <alignment wrapText="1"/>
      <protection/>
    </xf>
    <xf numFmtId="0" fontId="3" fillId="25" borderId="0" xfId="67" applyFont="1" applyFill="1" applyAlignment="1">
      <alignment wrapText="1"/>
      <protection/>
    </xf>
    <xf numFmtId="0" fontId="3" fillId="25" borderId="0" xfId="67" applyFont="1" applyFill="1" applyBorder="1" applyAlignment="1">
      <alignment wrapText="1"/>
      <protection/>
    </xf>
    <xf numFmtId="166" fontId="11" fillId="25" borderId="0" xfId="67" applyNumberFormat="1" applyFont="1" applyFill="1" applyAlignment="1">
      <alignment wrapText="1"/>
      <protection/>
    </xf>
    <xf numFmtId="3" fontId="16" fillId="25" borderId="0" xfId="67" applyNumberFormat="1" applyFont="1" applyFill="1" applyProtection="1">
      <alignment/>
      <protection/>
    </xf>
    <xf numFmtId="40" fontId="16" fillId="25" borderId="0" xfId="67" applyNumberFormat="1" applyFont="1" applyFill="1" applyProtection="1">
      <alignment/>
      <protection/>
    </xf>
    <xf numFmtId="37" fontId="2" fillId="25" borderId="0" xfId="67" applyNumberFormat="1" applyFont="1" applyFill="1" applyProtection="1">
      <alignment/>
      <protection/>
    </xf>
    <xf numFmtId="37" fontId="2" fillId="25" borderId="0" xfId="67" applyNumberFormat="1" applyFont="1" applyFill="1" applyBorder="1" applyProtection="1">
      <alignment/>
      <protection/>
    </xf>
    <xf numFmtId="166" fontId="16" fillId="25" borderId="0" xfId="67" applyNumberFormat="1" applyFont="1" applyFill="1" applyProtection="1">
      <alignment/>
      <protection/>
    </xf>
    <xf numFmtId="40" fontId="11" fillId="25" borderId="0" xfId="67" applyNumberFormat="1" applyFont="1" applyFill="1" applyProtection="1">
      <alignment/>
      <protection/>
    </xf>
    <xf numFmtId="3" fontId="11" fillId="25" borderId="0" xfId="67" applyNumberFormat="1" applyFont="1" applyFill="1" applyAlignment="1" applyProtection="1">
      <alignment horizontal="fill"/>
      <protection/>
    </xf>
    <xf numFmtId="40" fontId="11" fillId="25" borderId="0" xfId="67" applyNumberFormat="1" applyFont="1" applyFill="1" applyAlignment="1" applyProtection="1">
      <alignment horizontal="fill"/>
      <protection/>
    </xf>
    <xf numFmtId="39" fontId="11" fillId="25" borderId="0" xfId="67" applyNumberFormat="1" applyFont="1" applyFill="1" applyProtection="1">
      <alignment/>
      <protection/>
    </xf>
    <xf numFmtId="39" fontId="11" fillId="25" borderId="0" xfId="67" applyNumberFormat="1" applyFont="1" applyFill="1" applyAlignment="1" applyProtection="1">
      <alignment/>
      <protection/>
    </xf>
    <xf numFmtId="39" fontId="11" fillId="25" borderId="0" xfId="67" applyNumberFormat="1" applyFont="1" applyFill="1">
      <alignment/>
      <protection/>
    </xf>
    <xf numFmtId="40" fontId="4" fillId="25" borderId="0" xfId="67" applyNumberFormat="1" applyFont="1" applyFill="1" applyProtection="1">
      <alignment/>
      <protection/>
    </xf>
    <xf numFmtId="37" fontId="3" fillId="25" borderId="0" xfId="67" applyNumberFormat="1" applyFont="1" applyFill="1" applyProtection="1">
      <alignment/>
      <protection/>
    </xf>
    <xf numFmtId="37" fontId="3" fillId="25" borderId="0" xfId="67" applyNumberFormat="1" applyFont="1" applyFill="1" applyBorder="1" applyProtection="1">
      <alignment/>
      <protection/>
    </xf>
    <xf numFmtId="37" fontId="3" fillId="25" borderId="0" xfId="67" applyNumberFormat="1" applyFont="1" applyFill="1" applyAlignment="1" applyProtection="1">
      <alignment/>
      <protection/>
    </xf>
    <xf numFmtId="37" fontId="6" fillId="25" borderId="0" xfId="67" applyNumberFormat="1" applyFont="1" applyFill="1" applyAlignment="1" applyProtection="1">
      <alignment wrapText="1"/>
      <protection/>
    </xf>
    <xf numFmtId="0" fontId="3" fillId="25" borderId="0" xfId="67" applyFont="1" applyFill="1" applyAlignment="1">
      <alignment horizontal="center"/>
      <protection/>
    </xf>
    <xf numFmtId="40" fontId="3" fillId="25" borderId="0" xfId="67" applyNumberFormat="1" applyFont="1" applyFill="1" applyProtection="1">
      <alignment/>
      <protection/>
    </xf>
    <xf numFmtId="40" fontId="3" fillId="25" borderId="0" xfId="67" applyNumberFormat="1" applyFont="1" applyFill="1" applyBorder="1" applyProtection="1">
      <alignment/>
      <protection/>
    </xf>
    <xf numFmtId="40" fontId="11" fillId="25" borderId="36" xfId="67" applyNumberFormat="1" applyFont="1" applyFill="1" applyBorder="1" applyProtection="1">
      <alignment/>
      <protection/>
    </xf>
    <xf numFmtId="39" fontId="11" fillId="25" borderId="36" xfId="67" applyNumberFormat="1" applyFont="1" applyFill="1" applyBorder="1" applyProtection="1">
      <alignment/>
      <protection/>
    </xf>
    <xf numFmtId="40" fontId="17" fillId="25" borderId="0" xfId="67" applyNumberFormat="1" applyFont="1" applyFill="1">
      <alignment/>
      <protection/>
    </xf>
    <xf numFmtId="0" fontId="11" fillId="25" borderId="0" xfId="67" applyFont="1" applyFill="1">
      <alignment/>
      <protection/>
    </xf>
    <xf numFmtId="37" fontId="11" fillId="25" borderId="0" xfId="67" applyNumberFormat="1" applyFont="1" applyFill="1" applyProtection="1">
      <alignment/>
      <protection/>
    </xf>
    <xf numFmtId="37" fontId="11" fillId="25" borderId="0" xfId="67" applyNumberFormat="1" applyFont="1" applyFill="1" applyBorder="1" applyProtection="1">
      <alignment/>
      <protection/>
    </xf>
    <xf numFmtId="40" fontId="11" fillId="25" borderId="36" xfId="67" applyNumberFormat="1" applyFont="1" applyFill="1" applyBorder="1" applyAlignment="1" applyProtection="1">
      <alignment vertical="center"/>
      <protection/>
    </xf>
    <xf numFmtId="0" fontId="7" fillId="24" borderId="0" xfId="0" applyFont="1" applyFill="1" applyAlignment="1" quotePrefix="1">
      <alignment horizontal="center"/>
    </xf>
    <xf numFmtId="40" fontId="3" fillId="25" borderId="0" xfId="0" applyNumberFormat="1" applyFont="1" applyFill="1" applyAlignment="1" applyProtection="1" quotePrefix="1">
      <alignment horizontal="left"/>
      <protection/>
    </xf>
    <xf numFmtId="39" fontId="2" fillId="25" borderId="0" xfId="0" applyNumberFormat="1" applyFont="1" applyFill="1"/>
    <xf numFmtId="0" fontId="2" fillId="25" borderId="0" xfId="0" applyFont="1" applyFill="1" applyBorder="1" applyAlignment="1">
      <alignment horizontal="left" indent="1"/>
    </xf>
    <xf numFmtId="0" fontId="2" fillId="25" borderId="0" xfId="0" applyFont="1" applyFill="1" applyBorder="1" applyAlignment="1">
      <alignment horizontal="left" indent="3"/>
    </xf>
    <xf numFmtId="169" fontId="2" fillId="25" borderId="0" xfId="16" applyNumberFormat="1" applyFont="1" applyFill="1"/>
    <xf numFmtId="169" fontId="2" fillId="25" borderId="0" xfId="0" applyNumberFormat="1" applyFont="1" applyFill="1"/>
    <xf numFmtId="39" fontId="2" fillId="25" borderId="35" xfId="0" applyNumberFormat="1" applyFont="1" applyFill="1" applyBorder="1"/>
    <xf numFmtId="170" fontId="2" fillId="25" borderId="0" xfId="18" applyNumberFormat="1" applyFont="1" applyFill="1"/>
    <xf numFmtId="170" fontId="2" fillId="25" borderId="35" xfId="18" applyNumberFormat="1" applyFont="1" applyFill="1" applyBorder="1"/>
    <xf numFmtId="17" fontId="3" fillId="25" borderId="0" xfId="0" applyNumberFormat="1" applyFont="1" applyFill="1" applyAlignment="1" quotePrefix="1">
      <alignment horizontal="right"/>
    </xf>
    <xf numFmtId="0" fontId="3" fillId="25" borderId="0" xfId="0" applyFont="1" applyFill="1" applyAlignment="1" quotePrefix="1">
      <alignment horizontal="right"/>
    </xf>
    <xf numFmtId="40" fontId="3" fillId="25" borderId="0" xfId="0" applyNumberFormat="1" applyFont="1" applyFill="1" applyAlignment="1" applyProtection="1" quotePrefix="1">
      <alignment horizontal="right"/>
      <protection/>
    </xf>
    <xf numFmtId="170" fontId="2" fillId="25" borderId="0" xfId="18" applyNumberFormat="1" applyFont="1" applyFill="1" applyBorder="1"/>
    <xf numFmtId="39" fontId="2" fillId="25" borderId="0" xfId="0" applyNumberFormat="1" applyFont="1" applyFill="1" applyBorder="1"/>
    <xf numFmtId="0" fontId="4" fillId="24" borderId="0" xfId="67" applyFont="1" applyFill="1">
      <alignment/>
      <protection/>
    </xf>
    <xf numFmtId="0" fontId="2" fillId="0" borderId="0" xfId="67" applyFont="1">
      <alignment/>
      <protection/>
    </xf>
    <xf numFmtId="0" fontId="4" fillId="24" borderId="17" xfId="67" applyFont="1" applyFill="1" applyBorder="1" applyAlignment="1">
      <alignment horizontal="center"/>
      <protection/>
    </xf>
    <xf numFmtId="0" fontId="4" fillId="24" borderId="37" xfId="67" applyFont="1" applyFill="1" applyBorder="1" applyAlignment="1">
      <alignment horizontal="center"/>
      <protection/>
    </xf>
    <xf numFmtId="164" fontId="4" fillId="24" borderId="0" xfId="67" applyNumberFormat="1" applyFont="1" applyFill="1">
      <alignment/>
      <protection/>
    </xf>
    <xf numFmtId="0" fontId="4" fillId="24" borderId="0" xfId="67" applyFont="1" applyFill="1" applyAlignment="1">
      <alignment horizontal="center"/>
      <protection/>
    </xf>
    <xf numFmtId="0" fontId="5" fillId="4" borderId="17" xfId="67" applyFont="1" applyFill="1" applyBorder="1" applyAlignment="1">
      <alignment horizontal="center"/>
      <protection/>
    </xf>
    <xf numFmtId="40" fontId="4" fillId="24" borderId="0" xfId="67" applyNumberFormat="1" applyFont="1" applyFill="1">
      <alignment/>
      <protection/>
    </xf>
    <xf numFmtId="37" fontId="4" fillId="24" borderId="0" xfId="67" applyNumberFormat="1" applyFont="1" applyFill="1">
      <alignment/>
      <protection/>
    </xf>
    <xf numFmtId="37" fontId="4" fillId="25" borderId="0" xfId="67" applyNumberFormat="1" applyFont="1" applyFill="1">
      <alignment/>
      <protection/>
    </xf>
    <xf numFmtId="38" fontId="4" fillId="24" borderId="0" xfId="67" applyNumberFormat="1" applyFont="1" applyFill="1" applyBorder="1">
      <alignment/>
      <protection/>
    </xf>
    <xf numFmtId="37" fontId="4" fillId="24" borderId="0" xfId="67" applyNumberFormat="1" applyFont="1" applyFill="1" applyBorder="1">
      <alignment/>
      <protection/>
    </xf>
    <xf numFmtId="37" fontId="4" fillId="24" borderId="13" xfId="67" applyNumberFormat="1" applyFont="1" applyFill="1" applyBorder="1">
      <alignment/>
      <protection/>
    </xf>
    <xf numFmtId="37" fontId="4" fillId="25" borderId="13" xfId="67" applyNumberFormat="1" applyFont="1" applyFill="1" applyBorder="1">
      <alignment/>
      <protection/>
    </xf>
    <xf numFmtId="38" fontId="4" fillId="24" borderId="13" xfId="67" applyNumberFormat="1" applyFont="1" applyFill="1" applyBorder="1">
      <alignment/>
      <protection/>
    </xf>
    <xf numFmtId="40" fontId="4" fillId="24" borderId="0" xfId="67" applyNumberFormat="1" applyFont="1" applyFill="1" applyBorder="1">
      <alignment/>
      <protection/>
    </xf>
    <xf numFmtId="37" fontId="4" fillId="25" borderId="0" xfId="67" applyNumberFormat="1" applyFont="1" applyFill="1" applyBorder="1">
      <alignment/>
      <protection/>
    </xf>
    <xf numFmtId="40" fontId="5" fillId="24" borderId="0" xfId="67" applyNumberFormat="1" applyFont="1" applyFill="1">
      <alignment/>
      <protection/>
    </xf>
    <xf numFmtId="37" fontId="5" fillId="24" borderId="0" xfId="67" applyNumberFormat="1" applyFont="1" applyFill="1">
      <alignment/>
      <protection/>
    </xf>
    <xf numFmtId="37" fontId="5" fillId="25" borderId="0" xfId="67" applyNumberFormat="1" applyFont="1" applyFill="1">
      <alignment/>
      <protection/>
    </xf>
    <xf numFmtId="0" fontId="3" fillId="0" borderId="0" xfId="67" applyFont="1">
      <alignment/>
      <protection/>
    </xf>
    <xf numFmtId="39" fontId="4" fillId="24" borderId="0" xfId="67" applyNumberFormat="1" applyFont="1" applyFill="1">
      <alignment/>
      <protection/>
    </xf>
    <xf numFmtId="39" fontId="4" fillId="25" borderId="0" xfId="67" applyNumberFormat="1" applyFont="1" applyFill="1">
      <alignment/>
      <protection/>
    </xf>
    <xf numFmtId="0" fontId="5" fillId="26" borderId="17" xfId="67" applyFont="1" applyFill="1" applyBorder="1" applyAlignment="1">
      <alignment horizontal="center"/>
      <protection/>
    </xf>
    <xf numFmtId="40" fontId="4" fillId="24" borderId="0" xfId="68" applyNumberFormat="1" applyFont="1" applyFill="1"/>
    <xf numFmtId="40" fontId="4" fillId="24" borderId="0" xfId="68" applyNumberFormat="1" applyFont="1" applyFill="1" applyBorder="1"/>
    <xf numFmtId="40" fontId="4" fillId="24" borderId="13" xfId="67" applyNumberFormat="1" applyFont="1" applyFill="1" applyBorder="1">
      <alignment/>
      <protection/>
    </xf>
    <xf numFmtId="40" fontId="4" fillId="24" borderId="13" xfId="68" applyNumberFormat="1" applyFont="1" applyFill="1" applyBorder="1"/>
    <xf numFmtId="0" fontId="5" fillId="22" borderId="0" xfId="67" applyFont="1" applyFill="1">
      <alignment/>
      <protection/>
    </xf>
    <xf numFmtId="40" fontId="11" fillId="24" borderId="0" xfId="67" applyNumberFormat="1" applyFont="1" applyFill="1">
      <alignment/>
      <protection/>
    </xf>
    <xf numFmtId="40" fontId="11" fillId="24" borderId="0" xfId="68" applyNumberFormat="1" applyFont="1" applyFill="1"/>
    <xf numFmtId="0" fontId="3" fillId="24" borderId="0" xfId="67" applyFont="1" applyFill="1" applyAlignment="1">
      <alignment/>
      <protection/>
    </xf>
    <xf numFmtId="0" fontId="5" fillId="11" borderId="0" xfId="67" applyFont="1" applyFill="1">
      <alignment/>
      <protection/>
    </xf>
    <xf numFmtId="2" fontId="4" fillId="24" borderId="0" xfId="67" applyNumberFormat="1" applyFont="1" applyFill="1">
      <alignment/>
      <protection/>
    </xf>
    <xf numFmtId="0" fontId="4" fillId="24" borderId="0" xfId="67" applyFont="1" applyFill="1" applyBorder="1">
      <alignment/>
      <protection/>
    </xf>
    <xf numFmtId="0" fontId="4" fillId="0" borderId="0" xfId="67" applyFont="1" applyBorder="1">
      <alignment/>
      <protection/>
    </xf>
    <xf numFmtId="0" fontId="5" fillId="0" borderId="0" xfId="67" applyFont="1" applyBorder="1">
      <alignment/>
      <protection/>
    </xf>
    <xf numFmtId="0" fontId="2" fillId="0" borderId="0" xfId="67" applyFont="1" applyBorder="1">
      <alignment/>
      <protection/>
    </xf>
    <xf numFmtId="0" fontId="2" fillId="24" borderId="0" xfId="67" applyFont="1" applyFill="1">
      <alignment/>
      <protection/>
    </xf>
    <xf numFmtId="168" fontId="4" fillId="24" borderId="0" xfId="67" applyNumberFormat="1" applyFont="1" applyFill="1">
      <alignment/>
      <protection/>
    </xf>
    <xf numFmtId="0" fontId="2" fillId="0" borderId="0" xfId="67" applyFont="1" applyFill="1" applyBorder="1" applyAlignment="1">
      <alignment horizontal="left" indent="1"/>
      <protection/>
    </xf>
    <xf numFmtId="168" fontId="3" fillId="25" borderId="0" xfId="0" applyNumberFormat="1" applyFont="1" applyFill="1" applyProtection="1">
      <protection/>
    </xf>
    <xf numFmtId="0" fontId="47" fillId="0" borderId="0" xfId="67" applyFont="1">
      <alignment/>
      <protection/>
    </xf>
    <xf numFmtId="0" fontId="48" fillId="0" borderId="0" xfId="67" applyFont="1" applyFill="1" applyBorder="1">
      <alignment/>
      <protection/>
    </xf>
    <xf numFmtId="37" fontId="47" fillId="22" borderId="14" xfId="67" applyNumberFormat="1" applyFont="1" applyFill="1" applyBorder="1">
      <alignment/>
      <protection/>
    </xf>
    <xf numFmtId="37" fontId="47" fillId="22" borderId="0" xfId="67" applyNumberFormat="1" applyFont="1" applyFill="1" applyBorder="1">
      <alignment/>
      <protection/>
    </xf>
    <xf numFmtId="37" fontId="47" fillId="22" borderId="38" xfId="67" applyNumberFormat="1" applyFont="1" applyFill="1" applyBorder="1">
      <alignment/>
      <protection/>
    </xf>
    <xf numFmtId="0" fontId="47" fillId="0" borderId="0" xfId="67" applyFont="1" applyFill="1" applyBorder="1" applyAlignment="1">
      <alignment horizontal="left" indent="1"/>
      <protection/>
    </xf>
    <xf numFmtId="37" fontId="47" fillId="0" borderId="14" xfId="67" applyNumberFormat="1" applyFont="1" applyBorder="1">
      <alignment/>
      <protection/>
    </xf>
    <xf numFmtId="37" fontId="47" fillId="0" borderId="0" xfId="67" applyNumberFormat="1" applyFont="1" applyBorder="1">
      <alignment/>
      <protection/>
    </xf>
    <xf numFmtId="37" fontId="47" fillId="0" borderId="38" xfId="67" applyNumberFormat="1" applyFont="1" applyBorder="1">
      <alignment/>
      <protection/>
    </xf>
    <xf numFmtId="37" fontId="47" fillId="0" borderId="14" xfId="67" applyNumberFormat="1" applyFont="1" applyFill="1" applyBorder="1">
      <alignment/>
      <protection/>
    </xf>
    <xf numFmtId="37" fontId="47" fillId="0" borderId="0" xfId="67" applyNumberFormat="1" applyFont="1" applyFill="1" applyBorder="1">
      <alignment/>
      <protection/>
    </xf>
    <xf numFmtId="37" fontId="47" fillId="0" borderId="38" xfId="67" applyNumberFormat="1" applyFont="1" applyFill="1" applyBorder="1">
      <alignment/>
      <protection/>
    </xf>
    <xf numFmtId="37" fontId="47" fillId="27" borderId="39" xfId="67" applyNumberFormat="1" applyFont="1" applyFill="1" applyBorder="1">
      <alignment/>
      <protection/>
    </xf>
    <xf numFmtId="37" fontId="47" fillId="27" borderId="35" xfId="67" applyNumberFormat="1" applyFont="1" applyFill="1" applyBorder="1">
      <alignment/>
      <protection/>
    </xf>
    <xf numFmtId="37" fontId="47" fillId="27" borderId="40" xfId="67" applyNumberFormat="1" applyFont="1" applyFill="1" applyBorder="1">
      <alignment/>
      <protection/>
    </xf>
    <xf numFmtId="0" fontId="48" fillId="0" borderId="0" xfId="67" applyFont="1" applyFill="1" applyBorder="1" applyAlignment="1">
      <alignment/>
      <protection/>
    </xf>
    <xf numFmtId="37" fontId="47" fillId="0" borderId="41" xfId="67" applyNumberFormat="1" applyFont="1" applyFill="1" applyBorder="1">
      <alignment/>
      <protection/>
    </xf>
    <xf numFmtId="37" fontId="47" fillId="0" borderId="42" xfId="67" applyNumberFormat="1" applyFont="1" applyFill="1" applyBorder="1">
      <alignment/>
      <protection/>
    </xf>
    <xf numFmtId="37" fontId="47" fillId="0" borderId="43" xfId="67" applyNumberFormat="1" applyFont="1" applyFill="1" applyBorder="1">
      <alignment/>
      <protection/>
    </xf>
    <xf numFmtId="0" fontId="47" fillId="0" borderId="0" xfId="67" applyFont="1" applyFill="1">
      <alignment/>
      <protection/>
    </xf>
    <xf numFmtId="0" fontId="47" fillId="0" borderId="0" xfId="67" applyFont="1" applyFill="1" applyBorder="1" applyAlignment="1">
      <alignment horizontal="center"/>
      <protection/>
    </xf>
    <xf numFmtId="0" fontId="47" fillId="0" borderId="0" xfId="67" applyFont="1" applyFill="1" applyAlignment="1">
      <alignment horizontal="center"/>
      <protection/>
    </xf>
    <xf numFmtId="0" fontId="47" fillId="0" borderId="0" xfId="67" applyFont="1" applyFill="1" applyBorder="1">
      <alignment/>
      <protection/>
    </xf>
    <xf numFmtId="37" fontId="47" fillId="0" borderId="0" xfId="67" applyNumberFormat="1" applyFont="1" applyFill="1">
      <alignment/>
      <protection/>
    </xf>
    <xf numFmtId="39" fontId="47" fillId="0" borderId="0" xfId="67" applyNumberFormat="1" applyFont="1" applyFill="1">
      <alignment/>
      <protection/>
    </xf>
    <xf numFmtId="39" fontId="47" fillId="0" borderId="0" xfId="67" applyNumberFormat="1" applyFont="1" applyFill="1" applyBorder="1">
      <alignment/>
      <protection/>
    </xf>
    <xf numFmtId="39" fontId="47" fillId="0" borderId="0" xfId="67" applyNumberFormat="1" applyFont="1" applyFill="1" applyBorder="1" applyAlignment="1">
      <alignment horizontal="left" indent="1"/>
      <protection/>
    </xf>
    <xf numFmtId="39" fontId="47" fillId="0" borderId="0" xfId="67" applyNumberFormat="1" applyFont="1">
      <alignment/>
      <protection/>
    </xf>
    <xf numFmtId="39" fontId="47" fillId="0" borderId="0" xfId="67" applyNumberFormat="1" applyFont="1" applyFill="1" applyBorder="1" applyAlignment="1">
      <alignment horizontal="right"/>
      <protection/>
    </xf>
    <xf numFmtId="37" fontId="47" fillId="0" borderId="0" xfId="67" applyNumberFormat="1" applyFont="1">
      <alignment/>
      <protection/>
    </xf>
    <xf numFmtId="168" fontId="47" fillId="0" borderId="0" xfId="67" applyNumberFormat="1" applyFont="1" applyFill="1" applyBorder="1" applyAlignment="1">
      <alignment horizontal="left" indent="1"/>
      <protection/>
    </xf>
    <xf numFmtId="168" fontId="47" fillId="0" borderId="0" xfId="67" applyNumberFormat="1" applyFont="1" applyFill="1">
      <alignment/>
      <protection/>
    </xf>
    <xf numFmtId="168" fontId="47" fillId="0" borderId="0" xfId="67" applyNumberFormat="1" applyFont="1" applyFill="1" applyBorder="1">
      <alignment/>
      <protection/>
    </xf>
    <xf numFmtId="168" fontId="47" fillId="0" borderId="0" xfId="67" applyNumberFormat="1" applyFont="1">
      <alignment/>
      <protection/>
    </xf>
    <xf numFmtId="0" fontId="50" fillId="0" borderId="0" xfId="67" applyFont="1" applyFill="1" applyBorder="1" applyAlignment="1">
      <alignment horizontal="center"/>
      <protection/>
    </xf>
    <xf numFmtId="0" fontId="50" fillId="0" borderId="0" xfId="67" applyFont="1" applyFill="1">
      <alignment/>
      <protection/>
    </xf>
    <xf numFmtId="0" fontId="50" fillId="0" borderId="35" xfId="67" applyFont="1" applyFill="1" applyBorder="1" applyAlignment="1">
      <alignment horizontal="center"/>
      <protection/>
    </xf>
    <xf numFmtId="0" fontId="50" fillId="0" borderId="35" xfId="67" applyFont="1" applyFill="1" applyBorder="1">
      <alignment/>
      <protection/>
    </xf>
    <xf numFmtId="0" fontId="51" fillId="0" borderId="0" xfId="67" applyFont="1" applyFill="1" applyBorder="1" applyAlignment="1" quotePrefix="1">
      <alignment horizontal="left"/>
      <protection/>
    </xf>
    <xf numFmtId="0" fontId="50" fillId="0" borderId="0" xfId="67" applyFont="1" applyFill="1" applyBorder="1">
      <alignment/>
      <protection/>
    </xf>
    <xf numFmtId="37" fontId="50" fillId="0" borderId="0" xfId="67" applyNumberFormat="1" applyFont="1" applyFill="1" applyBorder="1">
      <alignment/>
      <protection/>
    </xf>
    <xf numFmtId="0" fontId="50" fillId="0" borderId="0" xfId="67" applyFont="1" applyFill="1" applyBorder="1" applyAlignment="1">
      <alignment horizontal="left" indent="1"/>
      <protection/>
    </xf>
    <xf numFmtId="37" fontId="50" fillId="0" borderId="14" xfId="67" applyNumberFormat="1" applyFont="1" applyFill="1" applyBorder="1">
      <alignment/>
      <protection/>
    </xf>
    <xf numFmtId="37" fontId="50" fillId="0" borderId="38" xfId="67" applyNumberFormat="1" applyFont="1" applyFill="1" applyBorder="1">
      <alignment/>
      <protection/>
    </xf>
    <xf numFmtId="168" fontId="50" fillId="0" borderId="0" xfId="67" applyNumberFormat="1" applyFont="1" applyFill="1" applyBorder="1">
      <alignment/>
      <protection/>
    </xf>
    <xf numFmtId="39" fontId="50" fillId="0" borderId="0" xfId="67" applyNumberFormat="1" applyFont="1" applyFill="1" applyBorder="1">
      <alignment/>
      <protection/>
    </xf>
    <xf numFmtId="39" fontId="50" fillId="0" borderId="0" xfId="67" applyNumberFormat="1" applyFont="1" applyFill="1" applyBorder="1" applyAlignment="1">
      <alignment horizontal="right"/>
      <protection/>
    </xf>
    <xf numFmtId="0" fontId="51" fillId="0" borderId="0" xfId="67" applyFont="1" applyFill="1" applyBorder="1" applyAlignment="1">
      <alignment/>
      <protection/>
    </xf>
    <xf numFmtId="0" fontId="50" fillId="0" borderId="0" xfId="67" applyFont="1" applyFill="1" applyBorder="1" applyAlignment="1" quotePrefix="1">
      <alignment horizontal="left" indent="1"/>
      <protection/>
    </xf>
    <xf numFmtId="37" fontId="50" fillId="0" borderId="41" xfId="67" applyNumberFormat="1" applyFont="1" applyFill="1" applyBorder="1">
      <alignment/>
      <protection/>
    </xf>
    <xf numFmtId="37" fontId="50" fillId="0" borderId="42" xfId="67" applyNumberFormat="1" applyFont="1" applyFill="1" applyBorder="1">
      <alignment/>
      <protection/>
    </xf>
    <xf numFmtId="37" fontId="50" fillId="0" borderId="43" xfId="67" applyNumberFormat="1" applyFont="1" applyFill="1" applyBorder="1">
      <alignment/>
      <protection/>
    </xf>
    <xf numFmtId="0" fontId="50" fillId="0" borderId="44" xfId="67" applyFont="1" applyFill="1" applyBorder="1" applyAlignment="1">
      <alignment horizontal="center"/>
      <protection/>
    </xf>
    <xf numFmtId="0" fontId="50" fillId="0" borderId="16" xfId="67" applyFont="1" applyFill="1" applyBorder="1" applyAlignment="1">
      <alignment horizontal="center"/>
      <protection/>
    </xf>
    <xf numFmtId="0" fontId="50" fillId="0" borderId="45" xfId="67" applyFont="1" applyFill="1" applyBorder="1" applyAlignment="1">
      <alignment horizontal="center"/>
      <protection/>
    </xf>
    <xf numFmtId="0" fontId="50" fillId="0" borderId="14" xfId="67" applyFont="1" applyFill="1" applyBorder="1" applyAlignment="1">
      <alignment horizontal="center"/>
      <protection/>
    </xf>
    <xf numFmtId="0" fontId="50" fillId="0" borderId="38" xfId="67" applyFont="1" applyFill="1" applyBorder="1" applyAlignment="1">
      <alignment horizontal="center"/>
      <protection/>
    </xf>
    <xf numFmtId="0" fontId="50" fillId="0" borderId="14" xfId="67" applyFont="1" applyFill="1" applyBorder="1">
      <alignment/>
      <protection/>
    </xf>
    <xf numFmtId="0" fontId="50" fillId="0" borderId="38" xfId="67" applyFont="1" applyFill="1" applyBorder="1">
      <alignment/>
      <protection/>
    </xf>
    <xf numFmtId="37" fontId="50" fillId="0" borderId="39" xfId="67" applyNumberFormat="1" applyFont="1" applyFill="1" applyBorder="1">
      <alignment/>
      <protection/>
    </xf>
    <xf numFmtId="37" fontId="50" fillId="0" borderId="35" xfId="67" applyNumberFormat="1" applyFont="1" applyFill="1" applyBorder="1">
      <alignment/>
      <protection/>
    </xf>
    <xf numFmtId="37" fontId="50" fillId="0" borderId="40" xfId="67" applyNumberFormat="1" applyFont="1" applyFill="1" applyBorder="1">
      <alignment/>
      <protection/>
    </xf>
    <xf numFmtId="168" fontId="50" fillId="0" borderId="14" xfId="67" applyNumberFormat="1" applyFont="1" applyFill="1" applyBorder="1">
      <alignment/>
      <protection/>
    </xf>
    <xf numFmtId="168" fontId="50" fillId="0" borderId="38" xfId="67" applyNumberFormat="1" applyFont="1" applyFill="1" applyBorder="1">
      <alignment/>
      <protection/>
    </xf>
    <xf numFmtId="39" fontId="50" fillId="0" borderId="14" xfId="67" applyNumberFormat="1" applyFont="1" applyFill="1" applyBorder="1">
      <alignment/>
      <protection/>
    </xf>
    <xf numFmtId="39" fontId="50" fillId="0" borderId="38" xfId="67" applyNumberFormat="1" applyFont="1" applyFill="1" applyBorder="1">
      <alignment/>
      <protection/>
    </xf>
    <xf numFmtId="39" fontId="50" fillId="0" borderId="39" xfId="67" applyNumberFormat="1" applyFont="1" applyFill="1" applyBorder="1" applyAlignment="1">
      <alignment horizontal="right"/>
      <protection/>
    </xf>
    <xf numFmtId="39" fontId="50" fillId="0" borderId="35" xfId="67" applyNumberFormat="1" applyFont="1" applyFill="1" applyBorder="1" applyAlignment="1">
      <alignment horizontal="right"/>
      <protection/>
    </xf>
    <xf numFmtId="39" fontId="50" fillId="0" borderId="40" xfId="67" applyNumberFormat="1" applyFont="1" applyFill="1" applyBorder="1" applyAlignment="1">
      <alignment horizontal="right"/>
      <protection/>
    </xf>
    <xf numFmtId="37" fontId="50" fillId="0" borderId="13" xfId="67" applyNumberFormat="1" applyFont="1" applyFill="1" applyBorder="1">
      <alignment/>
      <protection/>
    </xf>
    <xf numFmtId="0" fontId="49" fillId="0" borderId="0" xfId="0" applyFont="1" applyFill="1" applyAlignment="1">
      <alignment horizontal="center" vertical="center"/>
    </xf>
    <xf numFmtId="0" fontId="0" fillId="0" borderId="0" xfId="67" applyFill="1">
      <alignment/>
      <protection/>
    </xf>
    <xf numFmtId="37" fontId="47" fillId="0" borderId="39" xfId="67" applyNumberFormat="1" applyFont="1" applyFill="1" applyBorder="1">
      <alignment/>
      <protection/>
    </xf>
    <xf numFmtId="37" fontId="47" fillId="0" borderId="35" xfId="67" applyNumberFormat="1" applyFont="1" applyFill="1" applyBorder="1">
      <alignment/>
      <protection/>
    </xf>
    <xf numFmtId="37" fontId="47" fillId="0" borderId="40" xfId="67" applyNumberFormat="1" applyFont="1" applyFill="1" applyBorder="1">
      <alignment/>
      <protection/>
    </xf>
    <xf numFmtId="0" fontId="47" fillId="0" borderId="0" xfId="67" applyFont="1" applyFill="1" applyBorder="1" applyAlignment="1" quotePrefix="1">
      <alignment horizontal="left" indent="1"/>
      <protection/>
    </xf>
    <xf numFmtId="0" fontId="2" fillId="0" borderId="0" xfId="67" applyFont="1" applyFill="1">
      <alignment/>
      <protection/>
    </xf>
    <xf numFmtId="0" fontId="51" fillId="0" borderId="0" xfId="67" applyFont="1" applyFill="1" applyBorder="1">
      <alignment/>
      <protection/>
    </xf>
    <xf numFmtId="0" fontId="52" fillId="0" borderId="0" xfId="124" applyFont="1">
      <alignment/>
      <protection/>
    </xf>
    <xf numFmtId="0" fontId="53" fillId="0" borderId="0" xfId="124" applyFont="1">
      <alignment/>
      <protection/>
    </xf>
    <xf numFmtId="0" fontId="53" fillId="0" borderId="0" xfId="124" applyFont="1" applyAlignment="1">
      <alignment horizontal="right"/>
      <protection/>
    </xf>
    <xf numFmtId="0" fontId="53" fillId="0" borderId="35" xfId="124" applyFont="1" applyBorder="1" applyAlignment="1">
      <alignment horizontal="right"/>
      <protection/>
    </xf>
    <xf numFmtId="0" fontId="53" fillId="0" borderId="0" xfId="124" applyFont="1" applyAlignment="1" quotePrefix="1">
      <alignment horizontal="left"/>
      <protection/>
    </xf>
    <xf numFmtId="37" fontId="53" fillId="25" borderId="0" xfId="124" applyNumberFormat="1" applyFont="1" applyFill="1">
      <alignment/>
      <protection/>
    </xf>
    <xf numFmtId="169" fontId="53" fillId="25" borderId="0" xfId="16" applyNumberFormat="1" applyFont="1" applyFill="1"/>
    <xf numFmtId="40" fontId="5" fillId="25" borderId="0" xfId="0" applyNumberFormat="1" applyFont="1" applyFill="1" applyBorder="1" applyAlignment="1" applyProtection="1">
      <alignment horizontal="center" wrapText="1"/>
      <protection/>
    </xf>
    <xf numFmtId="0" fontId="0" fillId="25" borderId="0" xfId="0" applyFill="1" applyAlignment="1">
      <alignment wrapText="1"/>
    </xf>
    <xf numFmtId="0" fontId="0" fillId="25" borderId="35" xfId="0" applyFill="1" applyBorder="1" applyAlignment="1">
      <alignment wrapText="1"/>
    </xf>
    <xf numFmtId="164" fontId="14" fillId="25" borderId="35" xfId="0" applyNumberFormat="1" applyFont="1" applyFill="1" applyBorder="1" applyAlignment="1" applyProtection="1">
      <alignment horizontal="center" wrapText="1"/>
      <protection/>
    </xf>
    <xf numFmtId="0" fontId="15" fillId="25" borderId="35" xfId="0" applyFont="1" applyFill="1" applyBorder="1" applyAlignment="1">
      <alignment wrapText="1"/>
    </xf>
    <xf numFmtId="37" fontId="5" fillId="25" borderId="0" xfId="0" applyNumberFormat="1" applyFont="1" applyFill="1" applyBorder="1" applyAlignment="1" applyProtection="1">
      <alignment horizontal="center" wrapText="1"/>
      <protection/>
    </xf>
    <xf numFmtId="0" fontId="0" fillId="25" borderId="0" xfId="0" applyFill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35" xfId="0" applyFill="1" applyBorder="1" applyAlignment="1">
      <alignment/>
    </xf>
    <xf numFmtId="40" fontId="5" fillId="25" borderId="0" xfId="67" applyNumberFormat="1" applyFont="1" applyFill="1" applyBorder="1" applyAlignment="1" applyProtection="1">
      <alignment horizontal="center" wrapText="1"/>
      <protection/>
    </xf>
    <xf numFmtId="0" fontId="0" fillId="25" borderId="0" xfId="67" applyFill="1" applyAlignment="1">
      <alignment wrapText="1"/>
      <protection/>
    </xf>
    <xf numFmtId="0" fontId="0" fillId="25" borderId="35" xfId="67" applyFill="1" applyBorder="1" applyAlignment="1">
      <alignment wrapText="1"/>
      <protection/>
    </xf>
    <xf numFmtId="164" fontId="14" fillId="25" borderId="35" xfId="67" applyNumberFormat="1" applyFont="1" applyFill="1" applyBorder="1" applyAlignment="1" applyProtection="1">
      <alignment horizontal="center" wrapText="1"/>
      <protection/>
    </xf>
    <xf numFmtId="0" fontId="15" fillId="25" borderId="35" xfId="67" applyFont="1" applyFill="1" applyBorder="1" applyAlignment="1">
      <alignment wrapText="1"/>
      <protection/>
    </xf>
    <xf numFmtId="37" fontId="5" fillId="25" borderId="0" xfId="67" applyNumberFormat="1" applyFont="1" applyFill="1" applyBorder="1" applyAlignment="1" applyProtection="1">
      <alignment horizontal="center" wrapText="1"/>
      <protection/>
    </xf>
    <xf numFmtId="0" fontId="0" fillId="25" borderId="0" xfId="67" applyFill="1" applyAlignment="1">
      <alignment horizontal="center"/>
      <protection/>
    </xf>
    <xf numFmtId="0" fontId="0" fillId="25" borderId="35" xfId="67" applyFill="1" applyBorder="1" applyAlignment="1">
      <alignment horizontal="center"/>
      <protection/>
    </xf>
    <xf numFmtId="0" fontId="0" fillId="25" borderId="0" xfId="67" applyFill="1" applyAlignment="1">
      <alignment/>
      <protection/>
    </xf>
    <xf numFmtId="0" fontId="0" fillId="25" borderId="35" xfId="67" applyFill="1" applyBorder="1" applyAlignment="1">
      <alignment/>
      <protection/>
    </xf>
    <xf numFmtId="40" fontId="5" fillId="2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/>
    </xf>
    <xf numFmtId="0" fontId="0" fillId="0" borderId="35" xfId="0" applyBorder="1" applyAlignment="1">
      <alignment/>
    </xf>
    <xf numFmtId="164" fontId="14" fillId="24" borderId="35" xfId="0" applyNumberFormat="1" applyFont="1" applyFill="1" applyBorder="1" applyAlignment="1" applyProtection="1">
      <alignment horizontal="center" wrapText="1"/>
      <protection/>
    </xf>
    <xf numFmtId="0" fontId="15" fillId="0" borderId="35" xfId="0" applyFont="1" applyBorder="1" applyAlignment="1">
      <alignment wrapText="1"/>
    </xf>
    <xf numFmtId="17" fontId="4" fillId="24" borderId="0" xfId="67" applyNumberFormat="1" applyFont="1" applyFill="1" applyAlignment="1">
      <alignment horizontal="center" wrapText="1"/>
      <protection/>
    </xf>
    <xf numFmtId="0" fontId="4" fillId="24" borderId="0" xfId="67" applyFont="1" applyFill="1" applyAlignment="1">
      <alignment horizontal="center" wrapText="1"/>
      <protection/>
    </xf>
    <xf numFmtId="0" fontId="4" fillId="24" borderId="0" xfId="67" applyFont="1" applyFill="1" applyAlignment="1">
      <alignment wrapText="1"/>
      <protection/>
    </xf>
    <xf numFmtId="0" fontId="5" fillId="28" borderId="46" xfId="67" applyFont="1" applyFill="1" applyBorder="1" applyAlignment="1">
      <alignment horizontal="center"/>
      <protection/>
    </xf>
    <xf numFmtId="0" fontId="4" fillId="28" borderId="47" xfId="67" applyFont="1" applyFill="1" applyBorder="1" applyAlignment="1">
      <alignment horizontal="center"/>
      <protection/>
    </xf>
    <xf numFmtId="0" fontId="4" fillId="28" borderId="48" xfId="67" applyFont="1" applyFill="1" applyBorder="1" applyAlignment="1">
      <alignment horizontal="center"/>
      <protection/>
    </xf>
    <xf numFmtId="17" fontId="5" fillId="8" borderId="46" xfId="67" applyNumberFormat="1" applyFont="1" applyFill="1" applyBorder="1" applyAlignment="1">
      <alignment horizontal="center"/>
      <protection/>
    </xf>
    <xf numFmtId="0" fontId="4" fillId="8" borderId="47" xfId="67" applyFont="1" applyFill="1" applyBorder="1" applyAlignment="1">
      <alignment horizontal="center"/>
      <protection/>
    </xf>
    <xf numFmtId="0" fontId="4" fillId="8" borderId="48" xfId="67" applyFont="1" applyFill="1" applyBorder="1" applyAlignment="1">
      <alignment horizontal="center"/>
      <protection/>
    </xf>
    <xf numFmtId="17" fontId="5" fillId="7" borderId="46" xfId="67" applyNumberFormat="1" applyFont="1" applyFill="1" applyBorder="1" applyAlignment="1">
      <alignment horizontal="center"/>
      <protection/>
    </xf>
    <xf numFmtId="0" fontId="4" fillId="7" borderId="47" xfId="67" applyFont="1" applyFill="1" applyBorder="1" applyAlignment="1">
      <alignment horizontal="center"/>
      <protection/>
    </xf>
    <xf numFmtId="0" fontId="4" fillId="7" borderId="48" xfId="67" applyFont="1" applyFill="1" applyBorder="1" applyAlignment="1">
      <alignment horizontal="center"/>
      <protection/>
    </xf>
    <xf numFmtId="17" fontId="5" fillId="22" borderId="46" xfId="67" applyNumberFormat="1" applyFont="1" applyFill="1" applyBorder="1" applyAlignment="1">
      <alignment horizontal="center"/>
      <protection/>
    </xf>
    <xf numFmtId="0" fontId="4" fillId="0" borderId="47" xfId="67" applyFont="1" applyBorder="1" applyAlignment="1">
      <alignment horizontal="center"/>
      <protection/>
    </xf>
    <xf numFmtId="0" fontId="4" fillId="0" borderId="48" xfId="67" applyFont="1" applyBorder="1" applyAlignment="1">
      <alignment horizontal="center"/>
      <protection/>
    </xf>
    <xf numFmtId="17" fontId="50" fillId="0" borderId="49" xfId="67" applyNumberFormat="1" applyFont="1" applyFill="1" applyBorder="1" applyAlignment="1" quotePrefix="1">
      <alignment horizontal="center"/>
      <protection/>
    </xf>
    <xf numFmtId="0" fontId="50" fillId="0" borderId="47" xfId="67" applyFont="1" applyFill="1" applyBorder="1" applyAlignment="1">
      <alignment horizontal="center"/>
      <protection/>
    </xf>
    <xf numFmtId="0" fontId="50" fillId="0" borderId="50" xfId="67" applyFont="1" applyFill="1" applyBorder="1" applyAlignment="1">
      <alignment horizontal="center"/>
      <protection/>
    </xf>
    <xf numFmtId="17" fontId="50" fillId="0" borderId="49" xfId="67" applyNumberFormat="1" applyFont="1" applyFill="1" applyBorder="1" applyAlignment="1">
      <alignment horizontal="center"/>
      <protection/>
    </xf>
    <xf numFmtId="0" fontId="53" fillId="25" borderId="0" xfId="124" applyFont="1" applyFill="1">
      <alignment/>
      <protection/>
    </xf>
    <xf numFmtId="44" fontId="53" fillId="25" borderId="0" xfId="16" applyFont="1" applyFill="1"/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 2" xfId="61"/>
    <cellStyle name="Comma 2" xfId="62"/>
    <cellStyle name="Comma 3" xfId="63"/>
    <cellStyle name="Comma 3 2" xfId="64"/>
    <cellStyle name="Normal 3" xfId="65"/>
    <cellStyle name="Note 2" xfId="66"/>
    <cellStyle name="Normal 2 2" xfId="67"/>
    <cellStyle name="Comma 2 2" xfId="68"/>
    <cellStyle name="Comma 3 3" xfId="69"/>
    <cellStyle name="Comma 3 2 2" xfId="70"/>
    <cellStyle name="Comma (2)" xfId="71"/>
    <cellStyle name="ContentsHyperlink" xfId="72"/>
    <cellStyle name="Currency (2)" xfId="73"/>
    <cellStyle name="Date" xfId="74"/>
    <cellStyle name="Days" xfId="75"/>
    <cellStyle name="Dth" xfId="76"/>
    <cellStyle name="Euro" xfId="77"/>
    <cellStyle name="Heading" xfId="78"/>
    <cellStyle name="Hours" xfId="79"/>
    <cellStyle name="HR" xfId="80"/>
    <cellStyle name="MMBtu" xfId="81"/>
    <cellStyle name="Month" xfId="82"/>
    <cellStyle name="MW" xfId="83"/>
    <cellStyle name="MWh" xfId="84"/>
    <cellStyle name="MYDATE" xfId="85"/>
    <cellStyle name="Percent (0)" xfId="86"/>
    <cellStyle name="Percent (1)" xfId="87"/>
    <cellStyle name="Percent (2)" xfId="88"/>
    <cellStyle name="Period" xfId="89"/>
    <cellStyle name="Report Centered" xfId="90"/>
    <cellStyle name="RISKbigPercent" xfId="91"/>
    <cellStyle name="RISKblandrEdge" xfId="92"/>
    <cellStyle name="RISKblCorner" xfId="93"/>
    <cellStyle name="RISKbottomEdge" xfId="94"/>
    <cellStyle name="RISKbrCorner" xfId="95"/>
    <cellStyle name="RISKdarkBoxed" xfId="96"/>
    <cellStyle name="RISKdarkShade" xfId="97"/>
    <cellStyle name="RISKdbottomEdge" xfId="98"/>
    <cellStyle name="RISKdrightEdge" xfId="99"/>
    <cellStyle name="RISKdurationTime" xfId="100"/>
    <cellStyle name="RISKinNumber" xfId="101"/>
    <cellStyle name="RISKlandrEdge" xfId="102"/>
    <cellStyle name="RISKleftEdge" xfId="103"/>
    <cellStyle name="RISKlightBoxed" xfId="104"/>
    <cellStyle name="RISKltandbEdge" xfId="105"/>
    <cellStyle name="RISKnormBoxed" xfId="106"/>
    <cellStyle name="RISKnormCenter" xfId="107"/>
    <cellStyle name="RISKnormHeading" xfId="108"/>
    <cellStyle name="RISKnormItal" xfId="109"/>
    <cellStyle name="RISKnormLabel" xfId="110"/>
    <cellStyle name="RISKnormShade" xfId="111"/>
    <cellStyle name="RISKnormTitle" xfId="112"/>
    <cellStyle name="RISKoutNumber" xfId="113"/>
    <cellStyle name="RISKrightEdge" xfId="114"/>
    <cellStyle name="RISKrtandbEdge" xfId="115"/>
    <cellStyle name="RISKssTime" xfId="116"/>
    <cellStyle name="RISKtandbEdge" xfId="117"/>
    <cellStyle name="RISKtlandrEdge" xfId="118"/>
    <cellStyle name="RISKtlCorner" xfId="119"/>
    <cellStyle name="RISKtopEdge" xfId="120"/>
    <cellStyle name="RISKtrCorner" xfId="121"/>
    <cellStyle name="Style 1" xfId="122"/>
    <cellStyle name="Title Text" xfId="123"/>
    <cellStyle name="Normal 4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nthly%20Reporting\2012\Variance%20Explanations\September\Forecast\Financial%20Forecast%202012%20(9%20+%203)%2011-26-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3-16%20Budget%20Support%20-%20BREC\Generation\Financial%20Forecast%20(2013-2026)%2011-09-2012%20(Filing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inancial%20Modeling\Modeling\New%20Forecast%20Unwind\Financial%20Forecast%202013-2016\Budget\Big%20Rivers%202013-2016%20Budget%20Exhibits%20-%20Sensitivity%203%20Wilson%20Laid%20Up%20(10-17-1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inancial%20Modeling\COS%20Study-Rate%20Case%202013\Financial%20Model\Financial%20Forecast%20(2013-2016)%2011-09-2012%20(Filing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3-16%20Budget%20Support%20-%20BREC\Presentations\Net%20Sales%20Margin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SwappedFuncs"/>
      <sheetName val="Stmts RUS"/>
      <sheetName val="Trial Bal"/>
      <sheetName val="Regulatory Charge"/>
      <sheetName val="Fuel"/>
      <sheetName val="PCM"/>
      <sheetName val="O&amp;M"/>
      <sheetName val="Capex &amp; Depr"/>
      <sheetName val="Debt"/>
      <sheetName val="Pat."/>
      <sheetName val="Actual Adj."/>
      <sheetName val="Interest"/>
      <sheetName val="ECP"/>
      <sheetName val="Rates"/>
      <sheetName val="Rates - Cash"/>
      <sheetName val="FAC, PPA, ES, SC"/>
      <sheetName val="Charts"/>
      <sheetName val="Bud. Adj."/>
      <sheetName val="Risk"/>
    </sheetNames>
    <sheetDataSet>
      <sheetData sheetId="0"/>
      <sheetData sheetId="1">
        <row r="9">
          <cell r="K9">
            <v>0.360309427</v>
          </cell>
          <cell r="L9">
            <v>0.349518413</v>
          </cell>
          <cell r="M9">
            <v>0.360737741</v>
          </cell>
          <cell r="N9">
            <v>0.35909879</v>
          </cell>
          <cell r="O9">
            <v>0.345807993</v>
          </cell>
          <cell r="P9">
            <v>0.356530637</v>
          </cell>
          <cell r="Q9">
            <v>0.3400992</v>
          </cell>
          <cell r="R9">
            <v>0.35143583999999994</v>
          </cell>
        </row>
        <row r="10">
          <cell r="K10">
            <v>0.273472632</v>
          </cell>
          <cell r="L10">
            <v>0.260888602</v>
          </cell>
          <cell r="M10">
            <v>0.268499232</v>
          </cell>
          <cell r="N10">
            <v>0.262775146</v>
          </cell>
          <cell r="O10">
            <v>0.256935844</v>
          </cell>
          <cell r="P10">
            <v>0.26884224</v>
          </cell>
          <cell r="Q10">
            <v>0.25966079999999997</v>
          </cell>
          <cell r="R10">
            <v>0.26831616</v>
          </cell>
        </row>
        <row r="71">
          <cell r="K71">
            <v>38.88807626760069</v>
          </cell>
          <cell r="L71">
            <v>39.08720627484925</v>
          </cell>
          <cell r="M71">
            <v>39.12659273692265</v>
          </cell>
          <cell r="N71">
            <v>39.28198351164214</v>
          </cell>
          <cell r="O71">
            <v>39.32407364638222</v>
          </cell>
          <cell r="P71">
            <v>39.1765100780538</v>
          </cell>
          <cell r="Q71">
            <v>39.392002341920374</v>
          </cell>
          <cell r="R71">
            <v>39.392002341920374</v>
          </cell>
        </row>
        <row r="72">
          <cell r="K72">
            <v>2.95</v>
          </cell>
          <cell r="L72">
            <v>2.95</v>
          </cell>
          <cell r="M72">
            <v>2.95</v>
          </cell>
          <cell r="N72">
            <v>2.95</v>
          </cell>
          <cell r="O72">
            <v>2.95</v>
          </cell>
          <cell r="P72">
            <v>2.95</v>
          </cell>
          <cell r="Q72">
            <v>2.95</v>
          </cell>
          <cell r="R72">
            <v>2.95</v>
          </cell>
        </row>
        <row r="74">
          <cell r="K74">
            <v>-0.487</v>
          </cell>
          <cell r="L74">
            <v>-0.423</v>
          </cell>
          <cell r="M74">
            <v>-0.48</v>
          </cell>
          <cell r="N74">
            <v>-0.312</v>
          </cell>
          <cell r="O74">
            <v>-0.569</v>
          </cell>
          <cell r="P74">
            <v>-0.37</v>
          </cell>
          <cell r="Q74">
            <v>-0.5599363424113599</v>
          </cell>
          <cell r="R74">
            <v>-0.5887604174294743</v>
          </cell>
        </row>
        <row r="75">
          <cell r="K75">
            <v>3.326</v>
          </cell>
          <cell r="L75">
            <v>2.64</v>
          </cell>
          <cell r="M75">
            <v>2.971</v>
          </cell>
          <cell r="N75">
            <v>3.59</v>
          </cell>
          <cell r="O75">
            <v>3.318</v>
          </cell>
          <cell r="P75">
            <v>3.313</v>
          </cell>
          <cell r="Q75">
            <v>3.674546244664427</v>
          </cell>
          <cell r="R75">
            <v>3.5081639216437175</v>
          </cell>
        </row>
        <row r="76">
          <cell r="K76">
            <v>1.921</v>
          </cell>
          <cell r="L76">
            <v>2.224</v>
          </cell>
          <cell r="M76">
            <v>2.055</v>
          </cell>
          <cell r="N76">
            <v>2.261</v>
          </cell>
          <cell r="O76">
            <v>2.077</v>
          </cell>
          <cell r="P76">
            <v>2.332</v>
          </cell>
          <cell r="Q76">
            <v>2.02290481433111</v>
          </cell>
          <cell r="R76">
            <v>2.367110170616618</v>
          </cell>
        </row>
        <row r="77">
          <cell r="K77">
            <v>1.8590000036589864</v>
          </cell>
          <cell r="L77">
            <v>1.8810000078390317</v>
          </cell>
          <cell r="M77">
            <v>1.8589999955390415</v>
          </cell>
          <cell r="N77">
            <v>1.8590000047855357</v>
          </cell>
          <cell r="O77">
            <v>1.8810000043185842</v>
          </cell>
          <cell r="P77">
            <v>1.8590000026496194</v>
          </cell>
          <cell r="Q77">
            <v>1.880827330932373</v>
          </cell>
          <cell r="R77">
            <v>1.8588651589668124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W26">
            <v>6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SwappedFuncs"/>
      <sheetName val="Stmts RUS"/>
      <sheetName val="Trial Bal"/>
      <sheetName val="Regulatory Charge"/>
      <sheetName val="Fuel"/>
      <sheetName val="PCM"/>
      <sheetName val="Interest"/>
      <sheetName val="O&amp;M"/>
      <sheetName val="Capex &amp; Depr"/>
      <sheetName val="Debt"/>
      <sheetName val="Pat."/>
      <sheetName val="Rates"/>
      <sheetName val="Rates - Cash"/>
      <sheetName val="FAC, PPA, ES, SC"/>
      <sheetName val="ECP"/>
      <sheetName val="Charts"/>
      <sheetName val="Member Power Cost"/>
      <sheetName val="Bud. Adj."/>
    </sheetNames>
    <sheetDataSet>
      <sheetData sheetId="0" refreshError="1"/>
      <sheetData sheetId="1" refreshError="1">
        <row r="9">
          <cell r="G9">
            <v>0.35143583999999994</v>
          </cell>
          <cell r="H9">
            <v>0.31742592</v>
          </cell>
          <cell r="I9">
            <v>0.35143583999999994</v>
          </cell>
          <cell r="J9">
            <v>0.3400992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G10">
            <v>0.27560735999999997</v>
          </cell>
          <cell r="H10">
            <v>0.24893568</v>
          </cell>
          <cell r="I10">
            <v>0.27560735999999997</v>
          </cell>
          <cell r="J10">
            <v>0.2667168</v>
          </cell>
          <cell r="O10">
            <v>0.25966079999999997</v>
          </cell>
          <cell r="P10">
            <v>0.26831615999999997</v>
          </cell>
          <cell r="Q10">
            <v>0.25966079999999997</v>
          </cell>
          <cell r="R10">
            <v>0.26831615999999997</v>
          </cell>
          <cell r="T10">
            <v>0.26831615999999997</v>
          </cell>
          <cell r="U10">
            <v>0.24235008</v>
          </cell>
          <cell r="V10">
            <v>0.26831615999999997</v>
          </cell>
          <cell r="W10">
            <v>0.25966079999999997</v>
          </cell>
          <cell r="X10">
            <v>0.26831615999999997</v>
          </cell>
          <cell r="Y10">
            <v>0.25966079999999997</v>
          </cell>
          <cell r="Z10">
            <v>0.26831615999999997</v>
          </cell>
          <cell r="AA10">
            <v>0.26831615999999997</v>
          </cell>
        </row>
        <row r="71">
          <cell r="G71">
            <v>39.43210371819961</v>
          </cell>
          <cell r="H71">
            <v>39.43210371819961</v>
          </cell>
          <cell r="I71">
            <v>39.43210371819961</v>
          </cell>
          <cell r="J71">
            <v>39.43210371819961</v>
          </cell>
          <cell r="O71">
            <v>47.59693877551021</v>
          </cell>
          <cell r="P71">
            <v>47.59693877551021</v>
          </cell>
          <cell r="Q71">
            <v>47.59693877551021</v>
          </cell>
          <cell r="R71">
            <v>47.59693877551021</v>
          </cell>
          <cell r="T71">
            <v>47.59693877551021</v>
          </cell>
          <cell r="U71">
            <v>47.59693877551021</v>
          </cell>
          <cell r="V71">
            <v>47.59693877551021</v>
          </cell>
          <cell r="W71">
            <v>47.59693877551021</v>
          </cell>
          <cell r="X71">
            <v>47.59693877551021</v>
          </cell>
          <cell r="Y71">
            <v>47.59693877551021</v>
          </cell>
          <cell r="Z71">
            <v>47.59693877551021</v>
          </cell>
          <cell r="AA71">
            <v>47.59693877551021</v>
          </cell>
        </row>
        <row r="72">
          <cell r="G72">
            <v>2.95</v>
          </cell>
          <cell r="H72">
            <v>2.95</v>
          </cell>
          <cell r="I72">
            <v>2.95</v>
          </cell>
          <cell r="J72">
            <v>2.95</v>
          </cell>
          <cell r="O72">
            <v>2.95</v>
          </cell>
          <cell r="P72">
            <v>2.95</v>
          </cell>
          <cell r="Q72">
            <v>2.95</v>
          </cell>
          <cell r="R72">
            <v>2.95</v>
          </cell>
          <cell r="T72">
            <v>2.9423014139732655</v>
          </cell>
          <cell r="U72">
            <v>2.9423014139732655</v>
          </cell>
          <cell r="V72">
            <v>2.9423014139732655</v>
          </cell>
          <cell r="W72">
            <v>2.9423014139732655</v>
          </cell>
          <cell r="X72">
            <v>2.9423014139732655</v>
          </cell>
          <cell r="Y72">
            <v>2.9423014139732655</v>
          </cell>
          <cell r="Z72">
            <v>2.9423014139732655</v>
          </cell>
          <cell r="AA72">
            <v>2.9423014139732655</v>
          </cell>
        </row>
        <row r="74">
          <cell r="G74">
            <v>-0.5925009641938721</v>
          </cell>
          <cell r="H74">
            <v>-0.5573192765653343</v>
          </cell>
          <cell r="I74">
            <v>-0.5737368842685836</v>
          </cell>
          <cell r="J74">
            <v>-0.5509323357775415</v>
          </cell>
          <cell r="O74">
            <v>-0.3524936871929092</v>
          </cell>
          <cell r="P74">
            <v>-0.3377132651712804</v>
          </cell>
          <cell r="Q74">
            <v>-0.3529858222381471</v>
          </cell>
          <cell r="R74">
            <v>-0.4206603464508585</v>
          </cell>
          <cell r="T74">
            <v>-0.4131719799560179</v>
          </cell>
          <cell r="U74">
            <v>-0.3497337232558747</v>
          </cell>
          <cell r="V74">
            <v>-0.3607865017676083</v>
          </cell>
          <cell r="W74">
            <v>-0.30574356931596547</v>
          </cell>
          <cell r="X74">
            <v>-0.3366791921842872</v>
          </cell>
          <cell r="Y74">
            <v>-0.37682679036234384</v>
          </cell>
          <cell r="Z74">
            <v>-0.41144180507006445</v>
          </cell>
          <cell r="AA74">
            <v>-0.4035687324294444</v>
          </cell>
        </row>
        <row r="75">
          <cell r="G75">
            <v>3.793970024000206</v>
          </cell>
          <cell r="H75">
            <v>3.926745984159748</v>
          </cell>
          <cell r="I75">
            <v>3.9206958091520967</v>
          </cell>
          <cell r="J75">
            <v>3.9562958913347472</v>
          </cell>
          <cell r="O75">
            <v>4.700739212695471</v>
          </cell>
          <cell r="P75">
            <v>4.483449024792463</v>
          </cell>
          <cell r="Q75">
            <v>4.606105404305179</v>
          </cell>
          <cell r="R75">
            <v>4.6693319570191605</v>
          </cell>
          <cell r="T75">
            <v>4.9049917744126965</v>
          </cell>
          <cell r="U75">
            <v>5.07461105600305</v>
          </cell>
          <cell r="V75">
            <v>5.221140653610085</v>
          </cell>
          <cell r="W75">
            <v>5.3389689398350235</v>
          </cell>
          <cell r="X75">
            <v>5.441744024222196</v>
          </cell>
          <cell r="Y75">
            <v>5.639184019789095</v>
          </cell>
          <cell r="Z75">
            <v>5.659257552796234</v>
          </cell>
          <cell r="AA75">
            <v>5.696020633384883</v>
          </cell>
        </row>
        <row r="76">
          <cell r="G76">
            <v>2.4837400570803227</v>
          </cell>
          <cell r="H76">
            <v>2.4849940171317084</v>
          </cell>
          <cell r="I76">
            <v>2.548096149954306</v>
          </cell>
          <cell r="J76">
            <v>2.3842492425299575</v>
          </cell>
          <cell r="O76">
            <v>3.0326879214872187</v>
          </cell>
          <cell r="P76">
            <v>2.9731183508237593</v>
          </cell>
          <cell r="Q76">
            <v>2.7295200822194503</v>
          </cell>
          <cell r="R76">
            <v>2.5632199835339216</v>
          </cell>
          <cell r="T76">
            <v>2.6971224970223493</v>
          </cell>
          <cell r="U76">
            <v>2.717062553691994</v>
          </cell>
          <cell r="V76">
            <v>2.62489798580804</v>
          </cell>
          <cell r="W76">
            <v>2.863966162158152</v>
          </cell>
          <cell r="X76">
            <v>2.802533201873009</v>
          </cell>
          <cell r="Y76">
            <v>2.8106006051485855</v>
          </cell>
          <cell r="Z76">
            <v>2.780514151656247</v>
          </cell>
          <cell r="AA76">
            <v>3.2281112415214306</v>
          </cell>
        </row>
        <row r="77">
          <cell r="G77">
            <v>1.8512039361881287</v>
          </cell>
          <cell r="H77">
            <v>1.9209757864939996</v>
          </cell>
          <cell r="I77">
            <v>1.8512039361881287</v>
          </cell>
          <cell r="J77">
            <v>1.8729107340610662</v>
          </cell>
          <cell r="O77">
            <v>1.8808305296756385</v>
          </cell>
          <cell r="P77">
            <v>1.8588682545248114</v>
          </cell>
          <cell r="Q77">
            <v>1.8808305296756385</v>
          </cell>
          <cell r="R77">
            <v>1.8588682545248114</v>
          </cell>
          <cell r="T77">
            <v>1.8588682545248114</v>
          </cell>
          <cell r="U77">
            <v>1.929461281795327</v>
          </cell>
          <cell r="V77">
            <v>1.8588682545248114</v>
          </cell>
          <cell r="W77">
            <v>1.8808305296756385</v>
          </cell>
          <cell r="X77">
            <v>1.8588682545248114</v>
          </cell>
          <cell r="Y77">
            <v>1.8808305296756385</v>
          </cell>
          <cell r="Z77">
            <v>1.8588682545248114</v>
          </cell>
          <cell r="AA77">
            <v>1.8588682545248114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patch Logic"/>
      <sheetName val="Monthly Net Market Positions"/>
      <sheetName val="Monthly Sources and Uses"/>
      <sheetName val="Annual Sources and Uses"/>
      <sheetName val="Monthly Resource Report"/>
      <sheetName val="Annual Resource Report"/>
      <sheetName val="Monthly Emissions-Expected"/>
      <sheetName val="Annual Emissions"/>
      <sheetName val="ISO Style Costs"/>
      <sheetName val="Annual ISO Style Costs"/>
      <sheetName val="Monthly Interactions-Energy"/>
      <sheetName val="Monthly Interactions-$"/>
      <sheetName val="Monthly Interactions $.MWh"/>
      <sheetName val="Annual Interactions"/>
      <sheetName val="Prices"/>
      <sheetName val="Annual Prices"/>
      <sheetName val="Wilson Validation"/>
      <sheetName val="Coleman Validation"/>
      <sheetName val="Green Validation"/>
      <sheetName val="HMPL Validation"/>
      <sheetName val="Reid Validation"/>
    </sheetNames>
    <sheetDataSet>
      <sheetData sheetId="0" refreshError="1"/>
      <sheetData sheetId="1" refreshError="1"/>
      <sheetData sheetId="2">
        <row r="52">
          <cell r="C52">
            <v>22383.860000000015</v>
          </cell>
          <cell r="D52">
            <v>22033.35999999999</v>
          </cell>
          <cell r="E52">
            <v>19304.42</v>
          </cell>
          <cell r="F52">
            <v>31416.289999999997</v>
          </cell>
          <cell r="G52">
            <v>45415.409999999974</v>
          </cell>
          <cell r="H52">
            <v>34196.29000000001</v>
          </cell>
          <cell r="I52">
            <v>33510.20999999999</v>
          </cell>
          <cell r="J52">
            <v>25582.480000000007</v>
          </cell>
          <cell r="K52">
            <v>3009.430000000001</v>
          </cell>
          <cell r="L52">
            <v>407.68000000000006</v>
          </cell>
          <cell r="M52">
            <v>1535.9600000000005</v>
          </cell>
          <cell r="N52">
            <v>5908.109999999998</v>
          </cell>
          <cell r="O52">
            <v>7332.439999999997</v>
          </cell>
          <cell r="P52">
            <v>3573.1400000000003</v>
          </cell>
          <cell r="Q52">
            <v>9576.08</v>
          </cell>
          <cell r="R52">
            <v>10344.63</v>
          </cell>
          <cell r="S52">
            <v>11512.970000000007</v>
          </cell>
          <cell r="T52">
            <v>7066.0999999999985</v>
          </cell>
          <cell r="U52">
            <v>7170.340000000002</v>
          </cell>
          <cell r="V52">
            <v>8264.530000000004</v>
          </cell>
          <cell r="W52">
            <v>2851.440000000001</v>
          </cell>
          <cell r="X52">
            <v>366.8700000000001</v>
          </cell>
          <cell r="Y52">
            <v>1613.7099999999998</v>
          </cell>
          <cell r="Z52">
            <v>9136.840000000002</v>
          </cell>
          <cell r="AA52">
            <v>10413.800000000008</v>
          </cell>
          <cell r="AB52">
            <v>5384.469999999998</v>
          </cell>
          <cell r="AC52">
            <v>4477.550000000001</v>
          </cell>
          <cell r="AD52">
            <v>12587.159999999996</v>
          </cell>
          <cell r="AE52">
            <v>16925.539999999986</v>
          </cell>
          <cell r="AF52">
            <v>5822.4400000000005</v>
          </cell>
          <cell r="AG52">
            <v>7190.34</v>
          </cell>
          <cell r="AH52">
            <v>6230.6100000000015</v>
          </cell>
          <cell r="AI52">
            <v>5331.640000000003</v>
          </cell>
          <cell r="AJ52">
            <v>4040.4600000000005</v>
          </cell>
          <cell r="AK52">
            <v>5050.18</v>
          </cell>
          <cell r="AL52">
            <v>12557.38</v>
          </cell>
          <cell r="AM52">
            <v>8350.02</v>
          </cell>
          <cell r="AN52">
            <v>2924.8799999999997</v>
          </cell>
          <cell r="AO52">
            <v>28122.66999999999</v>
          </cell>
          <cell r="AP52">
            <v>27538.820000000003</v>
          </cell>
          <cell r="AQ52">
            <v>14015.410000000005</v>
          </cell>
          <cell r="AR52">
            <v>4124.48</v>
          </cell>
          <cell r="AS52">
            <v>6826.380000000001</v>
          </cell>
          <cell r="AT52">
            <v>6685.910000000002</v>
          </cell>
          <cell r="AU52">
            <v>2765.3700000000003</v>
          </cell>
          <cell r="AV52">
            <v>2101.0499999999997</v>
          </cell>
          <cell r="AW52">
            <v>2542.17</v>
          </cell>
          <cell r="AX52">
            <v>13144.200000000004</v>
          </cell>
        </row>
        <row r="70">
          <cell r="C70">
            <v>622156.2653999999</v>
          </cell>
          <cell r="D70">
            <v>591612.5467000003</v>
          </cell>
          <cell r="E70">
            <v>452433.63639999996</v>
          </cell>
          <cell r="F70">
            <v>741398.7689000001</v>
          </cell>
          <cell r="G70">
            <v>1176329.5668000001</v>
          </cell>
          <cell r="H70">
            <v>778834.0883000002</v>
          </cell>
          <cell r="I70">
            <v>878730.3316999995</v>
          </cell>
          <cell r="J70">
            <v>662351.2265000002</v>
          </cell>
          <cell r="K70">
            <v>79055.90219999998</v>
          </cell>
          <cell r="L70">
            <v>9232.072400000001</v>
          </cell>
          <cell r="M70">
            <v>37960.28970000002</v>
          </cell>
          <cell r="N70">
            <v>142787.94460000002</v>
          </cell>
          <cell r="O70">
            <v>219973.49500000005</v>
          </cell>
          <cell r="P70">
            <v>86748.36110000002</v>
          </cell>
          <cell r="Q70">
            <v>229694.05729999984</v>
          </cell>
          <cell r="R70">
            <v>247136.17959999994</v>
          </cell>
          <cell r="S70">
            <v>296141.3380999999</v>
          </cell>
          <cell r="T70">
            <v>154328.96970000005</v>
          </cell>
          <cell r="U70">
            <v>162740.08689999994</v>
          </cell>
          <cell r="V70">
            <v>207311.1713000001</v>
          </cell>
          <cell r="W70">
            <v>72268.14820000001</v>
          </cell>
          <cell r="X70">
            <v>8109.400200000003</v>
          </cell>
          <cell r="Y70">
            <v>37418.7978</v>
          </cell>
          <cell r="Z70">
            <v>222408.9942000001</v>
          </cell>
          <cell r="AA70">
            <v>271208.83619999996</v>
          </cell>
          <cell r="AB70">
            <v>142202.764</v>
          </cell>
          <cell r="AC70">
            <v>117638.94399999999</v>
          </cell>
          <cell r="AD70">
            <v>331824.44860000006</v>
          </cell>
          <cell r="AE70">
            <v>441738.3834</v>
          </cell>
          <cell r="AF70">
            <v>150122.1778</v>
          </cell>
          <cell r="AG70">
            <v>163930.45930000005</v>
          </cell>
          <cell r="AH70">
            <v>146761.4514</v>
          </cell>
          <cell r="AI70">
            <v>177804.23020000008</v>
          </cell>
          <cell r="AJ70">
            <v>126307.0227</v>
          </cell>
          <cell r="AK70">
            <v>125211.0596</v>
          </cell>
          <cell r="AL70">
            <v>311131.4803999999</v>
          </cell>
          <cell r="AM70">
            <v>230887.0414000001</v>
          </cell>
          <cell r="AN70">
            <v>80312.64229999999</v>
          </cell>
          <cell r="AO70">
            <v>756513.3776999996</v>
          </cell>
          <cell r="AP70">
            <v>733136.7242000002</v>
          </cell>
          <cell r="AQ70">
            <v>366824.83479999984</v>
          </cell>
          <cell r="AR70">
            <v>91641.17700000001</v>
          </cell>
          <cell r="AS70">
            <v>146546.17930000002</v>
          </cell>
          <cell r="AT70">
            <v>182210.0666</v>
          </cell>
          <cell r="AU70">
            <v>62594.7974</v>
          </cell>
          <cell r="AV70">
            <v>58542.6984</v>
          </cell>
          <cell r="AW70">
            <v>73953.73720000002</v>
          </cell>
          <cell r="AX70">
            <v>345135.3327999999</v>
          </cell>
        </row>
      </sheetData>
      <sheetData sheetId="3">
        <row r="14">
          <cell r="C14">
            <v>301928.69</v>
          </cell>
          <cell r="D14">
            <v>301928.69</v>
          </cell>
          <cell r="E14">
            <v>266980.01</v>
          </cell>
          <cell r="F14">
            <v>266980.01999999996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skSwappedFuncs"/>
      <sheetName val="Stmts RUS"/>
      <sheetName val="Trial Bal"/>
      <sheetName val="Regulatory Charge"/>
      <sheetName val="Fuel"/>
      <sheetName val="PCM"/>
      <sheetName val="Interest"/>
      <sheetName val="O&amp;M"/>
      <sheetName val="Capex &amp; Depr"/>
      <sheetName val="Debt"/>
      <sheetName val="Pat."/>
      <sheetName val="Rates"/>
      <sheetName val="Rates - Cash"/>
      <sheetName val="FAC, PPA, ES, SC"/>
      <sheetName val="ECP"/>
      <sheetName val="Charts"/>
      <sheetName val="Member Power Cost"/>
      <sheetName val="Bud. Adj."/>
    </sheetNames>
    <sheetDataSet>
      <sheetData sheetId="0" refreshError="1"/>
      <sheetData sheetId="1">
        <row r="196">
          <cell r="S196">
            <v>49.34806605626322</v>
          </cell>
          <cell r="AF196">
            <v>55.99429742549452</v>
          </cell>
          <cell r="AG196">
            <v>58.73620983581256</v>
          </cell>
          <cell r="AH196">
            <v>57.872900048375776</v>
          </cell>
        </row>
      </sheetData>
      <sheetData sheetId="2" refreshError="1"/>
      <sheetData sheetId="3" refreshError="1"/>
      <sheetData sheetId="4" refreshError="1"/>
      <sheetData sheetId="5">
        <row r="6">
          <cell r="Z6">
            <v>2.40983</v>
          </cell>
          <cell r="AM6">
            <v>2.4487940000000004</v>
          </cell>
          <cell r="AN6">
            <v>2.479656</v>
          </cell>
          <cell r="AO6">
            <v>2.519437</v>
          </cell>
        </row>
        <row r="7">
          <cell r="Z7">
            <v>0.9430274421999998</v>
          </cell>
          <cell r="AM7">
            <v>0.9436986789999997</v>
          </cell>
          <cell r="AN7">
            <v>0.943698679</v>
          </cell>
          <cell r="AO7">
            <v>0.9441065782000001</v>
          </cell>
        </row>
        <row r="8">
          <cell r="Z8">
            <v>2.6187638399999997</v>
          </cell>
          <cell r="AM8">
            <v>0</v>
          </cell>
          <cell r="AN8">
            <v>0</v>
          </cell>
          <cell r="AO8">
            <v>0</v>
          </cell>
        </row>
        <row r="9">
          <cell r="Z9">
            <v>3.2017775999999993</v>
          </cell>
          <cell r="AM9">
            <v>3.159206399999999</v>
          </cell>
          <cell r="AN9">
            <v>3.1592064</v>
          </cell>
          <cell r="AO9">
            <v>3.1678617599999996</v>
          </cell>
        </row>
        <row r="10">
          <cell r="Z10">
            <v>1.603328547800001</v>
          </cell>
          <cell r="AM10">
            <v>1.7668108509999993</v>
          </cell>
          <cell r="AN10">
            <v>1.708235921</v>
          </cell>
          <cell r="AO10">
            <v>1.6273758318000002</v>
          </cell>
        </row>
        <row r="63">
          <cell r="Z63">
            <v>8.5662985261</v>
          </cell>
          <cell r="AM63">
            <v>8.6630545261</v>
          </cell>
          <cell r="AN63">
            <v>12.422228399999998</v>
          </cell>
          <cell r="AO63">
            <v>12.422228399999998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 Summary"/>
      <sheetName val="Vs 2012 Forecast"/>
      <sheetName val="Vs 2012 Budget"/>
      <sheetName val="Vs 2013 Prior Budget"/>
      <sheetName val="2014 Financial Plan"/>
      <sheetName val="2015 Financial Plan"/>
      <sheetName val="2016 Financial Plan"/>
      <sheetName val="Summary"/>
      <sheetName val="Variable 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8">
          <cell r="E28">
            <v>143328343</v>
          </cell>
          <cell r="F28">
            <v>181795988</v>
          </cell>
          <cell r="G28">
            <v>189905893</v>
          </cell>
          <cell r="H28">
            <v>198315265</v>
          </cell>
        </row>
        <row r="29">
          <cell r="E29">
            <v>46237381</v>
          </cell>
          <cell r="F29">
            <v>55090087</v>
          </cell>
          <cell r="G29">
            <v>57149581</v>
          </cell>
          <cell r="H29">
            <v>59180760</v>
          </cell>
        </row>
        <row r="30">
          <cell r="E30">
            <v>302822448</v>
          </cell>
          <cell r="F30">
            <v>191191539</v>
          </cell>
          <cell r="G30">
            <v>199688850</v>
          </cell>
          <cell r="H30">
            <v>205772766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6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50.140625" style="98" customWidth="1"/>
    <col min="2" max="2" width="27.8515625" style="98" customWidth="1"/>
    <col min="3" max="3" width="30.140625" style="98" customWidth="1"/>
    <col min="4" max="4" width="25.00390625" style="98" bestFit="1" customWidth="1"/>
    <col min="5" max="5" width="24.8515625" style="98" customWidth="1"/>
    <col min="6" max="6" width="29.421875" style="98" customWidth="1"/>
    <col min="7" max="7" width="23.8515625" style="98" customWidth="1"/>
    <col min="8" max="8" width="4.0039062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0.8515625" style="98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0" width="29.140625" style="98" customWidth="1"/>
    <col min="21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27.75" customHeight="1">
      <c r="A1" s="101" t="s">
        <v>21</v>
      </c>
      <c r="C1" s="461" t="s">
        <v>20</v>
      </c>
      <c r="D1" s="456" t="s">
        <v>10</v>
      </c>
      <c r="E1" s="456" t="s">
        <v>8</v>
      </c>
      <c r="F1" s="456" t="s">
        <v>7</v>
      </c>
      <c r="G1" s="456" t="s">
        <v>9</v>
      </c>
      <c r="H1" s="102"/>
      <c r="I1" s="103">
        <v>0.003326</v>
      </c>
      <c r="J1" s="104"/>
      <c r="K1" s="105"/>
      <c r="L1" s="103">
        <v>0.001921</v>
      </c>
      <c r="M1" s="106"/>
      <c r="N1" s="106"/>
      <c r="O1" s="107">
        <v>-0.000487</v>
      </c>
      <c r="P1" s="108"/>
      <c r="Q1" s="108"/>
      <c r="R1" s="102"/>
      <c r="S1" s="102"/>
      <c r="T1" s="456" t="s">
        <v>13</v>
      </c>
      <c r="AB1" s="102"/>
    </row>
    <row r="2" spans="2:28" ht="36.75" customHeight="1">
      <c r="B2" s="109"/>
      <c r="C2" s="462"/>
      <c r="D2" s="464"/>
      <c r="E2" s="464"/>
      <c r="F2" s="457"/>
      <c r="G2" s="464"/>
      <c r="H2" s="102"/>
      <c r="I2" s="459" t="s">
        <v>16</v>
      </c>
      <c r="J2" s="460"/>
      <c r="K2" s="110"/>
      <c r="L2" s="459" t="s">
        <v>17</v>
      </c>
      <c r="M2" s="460"/>
      <c r="N2" s="110"/>
      <c r="O2" s="459" t="s">
        <v>18</v>
      </c>
      <c r="P2" s="460"/>
      <c r="Q2" s="110"/>
      <c r="R2" s="111"/>
      <c r="S2" s="102"/>
      <c r="T2" s="457"/>
      <c r="AB2" s="102"/>
    </row>
    <row r="3" spans="1:28" s="121" customFormat="1" ht="44.25" customHeight="1">
      <c r="A3" s="201" t="s">
        <v>0</v>
      </c>
      <c r="B3" s="113"/>
      <c r="C3" s="463"/>
      <c r="D3" s="465"/>
      <c r="E3" s="465"/>
      <c r="F3" s="458"/>
      <c r="G3" s="465"/>
      <c r="H3" s="114"/>
      <c r="I3" s="115" t="s">
        <v>14</v>
      </c>
      <c r="J3" s="116" t="s">
        <v>15</v>
      </c>
      <c r="K3" s="114"/>
      <c r="L3" s="115" t="s">
        <v>14</v>
      </c>
      <c r="M3" s="116" t="s">
        <v>15</v>
      </c>
      <c r="N3" s="114"/>
      <c r="O3" s="115" t="s">
        <v>14</v>
      </c>
      <c r="P3" s="116" t="s">
        <v>15</v>
      </c>
      <c r="Q3" s="114"/>
      <c r="R3" s="117" t="s">
        <v>12</v>
      </c>
      <c r="S3" s="118"/>
      <c r="T3" s="45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123">
        <v>358019507</v>
      </c>
      <c r="C4" s="124">
        <v>185000</v>
      </c>
      <c r="D4" s="125">
        <v>2104920</v>
      </c>
      <c r="E4" s="125">
        <v>0</v>
      </c>
      <c r="F4" s="125">
        <f>SUM(B4:E4)</f>
        <v>360309427</v>
      </c>
      <c r="G4" s="126">
        <f>T26/F4*1000</f>
        <v>48.40215951385585</v>
      </c>
      <c r="H4" s="127"/>
      <c r="I4" s="128">
        <f>ROUND($B4*$I$1,2)</f>
        <v>1190772.88</v>
      </c>
      <c r="J4" s="126">
        <f>I4/B4*1000</f>
        <v>3.3259999992123332</v>
      </c>
      <c r="K4" s="129"/>
      <c r="L4" s="130">
        <f>ROUND(+$B4*L$1,2)</f>
        <v>687755.47</v>
      </c>
      <c r="M4" s="126">
        <f>L4/B4*1000</f>
        <v>1.9209999917686047</v>
      </c>
      <c r="N4" s="129"/>
      <c r="O4" s="131">
        <f>ROUND(+$B4*O1,2)</f>
        <v>-174355.5</v>
      </c>
      <c r="P4" s="132">
        <f>O4/B4*1000</f>
        <v>-0.4870000002541761</v>
      </c>
      <c r="Q4" s="133"/>
      <c r="R4" s="130">
        <v>653271.01</v>
      </c>
      <c r="S4" s="130"/>
      <c r="T4" s="134">
        <f>I4+L4+R4+O4</f>
        <v>2357443.86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135">
        <v>272106974</v>
      </c>
      <c r="C5" s="136">
        <v>0</v>
      </c>
      <c r="D5" s="137">
        <v>1365658</v>
      </c>
      <c r="E5" s="137">
        <v>0</v>
      </c>
      <c r="F5" s="137">
        <f>SUM(B5:E5)</f>
        <v>273472632</v>
      </c>
      <c r="G5" s="126">
        <f>T27/F5*1000</f>
        <v>48.52943094503146</v>
      </c>
      <c r="H5" s="127"/>
      <c r="I5" s="128">
        <f>ROUND($B5*$I$1,2)</f>
        <v>905027.8</v>
      </c>
      <c r="J5" s="126">
        <f>I5/B5*1000</f>
        <v>3.326000016449413</v>
      </c>
      <c r="K5" s="129"/>
      <c r="L5" s="130">
        <f>ROUND(+$B5*L$1,2)</f>
        <v>522717.5</v>
      </c>
      <c r="M5" s="126">
        <f>L5/B5*1000</f>
        <v>1.9210000108266243</v>
      </c>
      <c r="N5" s="129"/>
      <c r="O5" s="131">
        <f>ROUND(+$B5*O1,2)</f>
        <v>-132516.1</v>
      </c>
      <c r="P5" s="132">
        <f>O5/B5*1000</f>
        <v>-0.48700001345794247</v>
      </c>
      <c r="Q5" s="133"/>
      <c r="R5" s="138">
        <v>498764.39</v>
      </c>
      <c r="S5" s="130"/>
      <c r="T5" s="134">
        <f>I5+L5+R5+O5</f>
        <v>1793993.5899999999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139">
        <f>SUM(B4:B5)</f>
        <v>630126481</v>
      </c>
      <c r="C6" s="139">
        <f>SUM(C4:C5)</f>
        <v>185000</v>
      </c>
      <c r="D6" s="140">
        <f>SUM(D4:D5)</f>
        <v>3470578</v>
      </c>
      <c r="E6" s="140">
        <f>SUM(E4:E5)</f>
        <v>0</v>
      </c>
      <c r="F6" s="140">
        <f>SUM(F4:F5)</f>
        <v>633782059</v>
      </c>
      <c r="G6" s="98"/>
      <c r="H6" s="99"/>
      <c r="I6" s="141">
        <f>SUM(I4:I5)</f>
        <v>2095800.68</v>
      </c>
      <c r="J6" s="130"/>
      <c r="K6" s="130"/>
      <c r="L6" s="141">
        <f>SUM(L4:L5)</f>
        <v>1210472.97</v>
      </c>
      <c r="M6" s="130"/>
      <c r="N6" s="130"/>
      <c r="O6" s="142">
        <f>+O4+O5</f>
        <v>-306871.6</v>
      </c>
      <c r="P6" s="130"/>
      <c r="Q6" s="130"/>
      <c r="R6" s="141">
        <f>+R4+R5</f>
        <v>1152035.4</v>
      </c>
      <c r="S6" s="130"/>
      <c r="T6" s="143">
        <f>SUM(T4:T5)</f>
        <v>4151437.4499999997</v>
      </c>
      <c r="U6" s="144"/>
      <c r="V6" s="98"/>
      <c r="W6" s="98"/>
      <c r="X6" s="98"/>
      <c r="AB6" s="145"/>
    </row>
    <row r="7" spans="1:28" s="121" customFormat="1" ht="21" thickTop="1">
      <c r="A7" s="204"/>
      <c r="B7" s="146"/>
      <c r="C7" s="147"/>
      <c r="D7" s="148"/>
      <c r="E7" s="148"/>
      <c r="F7" s="148"/>
      <c r="G7" s="149"/>
      <c r="H7" s="150"/>
      <c r="I7" s="99"/>
      <c r="J7" s="99"/>
      <c r="K7" s="99"/>
      <c r="L7" s="105"/>
      <c r="M7" s="151"/>
      <c r="N7" s="151"/>
      <c r="O7" s="127"/>
      <c r="P7" s="127"/>
      <c r="Q7" s="127"/>
      <c r="R7" s="151"/>
      <c r="S7" s="151"/>
      <c r="T7" s="152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154"/>
      <c r="C8" s="155"/>
      <c r="D8" s="153"/>
      <c r="E8" s="153"/>
      <c r="F8" s="156"/>
      <c r="G8" s="156"/>
      <c r="H8" s="157"/>
      <c r="I8" s="99"/>
      <c r="J8" s="151"/>
      <c r="K8" s="151"/>
      <c r="L8" s="151"/>
      <c r="M8" s="151"/>
      <c r="N8" s="151"/>
      <c r="O8" s="151"/>
      <c r="P8" s="151"/>
      <c r="Q8" s="151"/>
      <c r="R8" s="99"/>
      <c r="S8" s="99"/>
      <c r="T8" s="152"/>
      <c r="U8" s="144"/>
      <c r="V8" s="98"/>
      <c r="W8" s="98"/>
      <c r="X8" s="98"/>
      <c r="AB8" s="104"/>
    </row>
    <row r="9" spans="1:28" ht="18" customHeight="1">
      <c r="A9" s="202" t="s">
        <v>28</v>
      </c>
      <c r="B9" s="123">
        <v>351435840</v>
      </c>
      <c r="C9" s="158"/>
      <c r="D9" s="153"/>
      <c r="E9" s="153"/>
      <c r="F9" s="159"/>
      <c r="G9" s="159"/>
      <c r="H9" s="160"/>
      <c r="I9" s="99"/>
      <c r="J9" s="161"/>
      <c r="K9" s="161"/>
      <c r="L9" s="151"/>
      <c r="M9" s="151"/>
      <c r="N9" s="151"/>
      <c r="O9" s="162">
        <v>0.039392</v>
      </c>
      <c r="P9" s="151"/>
      <c r="Q9" s="151"/>
      <c r="R9" s="163"/>
      <c r="S9" s="163"/>
      <c r="T9" s="164">
        <f>ROUND(B9*$O$9,2)</f>
        <v>13843760.61</v>
      </c>
      <c r="AB9" s="104"/>
    </row>
    <row r="10" spans="1:28" ht="21">
      <c r="A10" s="202" t="s">
        <v>29</v>
      </c>
      <c r="B10" s="123">
        <v>268316160</v>
      </c>
      <c r="C10" s="158"/>
      <c r="D10" s="153"/>
      <c r="E10" s="153"/>
      <c r="F10" s="159"/>
      <c r="G10" s="159"/>
      <c r="H10" s="160"/>
      <c r="I10" s="99"/>
      <c r="J10" s="161"/>
      <c r="K10" s="161"/>
      <c r="L10" s="151"/>
      <c r="M10" s="151"/>
      <c r="N10" s="151"/>
      <c r="O10" s="162"/>
      <c r="P10" s="151"/>
      <c r="Q10" s="151"/>
      <c r="R10" s="165"/>
      <c r="S10" s="166"/>
      <c r="T10" s="164">
        <f>ROUND(B10*$O$9,2)</f>
        <v>10569510.17</v>
      </c>
      <c r="AB10" s="104"/>
    </row>
    <row r="11" spans="1:28" ht="21.6" thickBot="1">
      <c r="A11" s="203"/>
      <c r="B11" s="139">
        <f>SUM(B9:B10)</f>
        <v>619752000</v>
      </c>
      <c r="C11" s="130"/>
      <c r="D11" s="153"/>
      <c r="E11" s="153"/>
      <c r="F11" s="159"/>
      <c r="G11" s="159"/>
      <c r="H11" s="160"/>
      <c r="I11" s="153"/>
      <c r="J11" s="161"/>
      <c r="K11" s="161"/>
      <c r="L11" s="104"/>
      <c r="M11" s="104"/>
      <c r="N11" s="151"/>
      <c r="O11" s="167"/>
      <c r="P11" s="104"/>
      <c r="Q11" s="151"/>
      <c r="R11" s="165"/>
      <c r="S11" s="166"/>
      <c r="T11" s="164"/>
      <c r="AB11" s="104"/>
    </row>
    <row r="12" spans="1:28" ht="21.6" thickTop="1">
      <c r="A12" s="203"/>
      <c r="B12" s="168"/>
      <c r="C12" s="126"/>
      <c r="D12" s="153"/>
      <c r="E12" s="153"/>
      <c r="F12" s="153"/>
      <c r="G12" s="153"/>
      <c r="H12" s="161"/>
      <c r="I12" s="153"/>
      <c r="J12" s="153"/>
      <c r="K12" s="161"/>
      <c r="L12" s="153"/>
      <c r="M12" s="153"/>
      <c r="N12" s="161"/>
      <c r="O12" s="169"/>
      <c r="P12" s="153"/>
      <c r="Q12" s="161"/>
      <c r="R12" s="165"/>
      <c r="S12" s="166"/>
      <c r="T12" s="164"/>
      <c r="AB12" s="153"/>
    </row>
    <row r="13" spans="1:28" ht="21">
      <c r="A13" s="204"/>
      <c r="B13" s="170"/>
      <c r="C13" s="171"/>
      <c r="D13" s="172"/>
      <c r="E13" s="172"/>
      <c r="F13" s="172"/>
      <c r="G13" s="172"/>
      <c r="H13" s="173"/>
      <c r="I13" s="172"/>
      <c r="J13" s="153"/>
      <c r="K13" s="161"/>
      <c r="L13" s="172"/>
      <c r="M13" s="172"/>
      <c r="N13" s="173"/>
      <c r="O13" s="174"/>
      <c r="P13" s="172"/>
      <c r="Q13" s="173"/>
      <c r="T13" s="164"/>
      <c r="AB13" s="172"/>
    </row>
    <row r="14" spans="1:28" ht="21">
      <c r="A14" s="204"/>
      <c r="B14" s="175"/>
      <c r="C14" s="176"/>
      <c r="D14" s="144"/>
      <c r="E14" s="144"/>
      <c r="F14" s="144"/>
      <c r="G14" s="144"/>
      <c r="H14" s="177"/>
      <c r="I14" s="144"/>
      <c r="J14" s="172"/>
      <c r="K14" s="173"/>
      <c r="L14" s="144"/>
      <c r="M14" s="144"/>
      <c r="N14" s="177"/>
      <c r="O14" s="178"/>
      <c r="P14" s="144"/>
      <c r="Q14" s="177"/>
      <c r="R14" s="144"/>
      <c r="S14" s="177"/>
      <c r="T14" s="179"/>
      <c r="U14" s="144"/>
      <c r="AB14" s="144"/>
    </row>
    <row r="15" spans="1:28" ht="21">
      <c r="A15" s="205" t="s">
        <v>2</v>
      </c>
      <c r="B15" s="180"/>
      <c r="C15" s="181"/>
      <c r="D15" s="144"/>
      <c r="E15" s="144"/>
      <c r="F15" s="144"/>
      <c r="G15" s="144"/>
      <c r="H15" s="177"/>
      <c r="I15" s="144"/>
      <c r="J15" s="144"/>
      <c r="K15" s="177"/>
      <c r="L15" s="144"/>
      <c r="M15" s="144"/>
      <c r="N15" s="177"/>
      <c r="O15" s="178"/>
      <c r="P15" s="144"/>
      <c r="Q15" s="177"/>
      <c r="R15" s="144"/>
      <c r="S15" s="177"/>
      <c r="T15" s="182"/>
      <c r="U15" s="144"/>
      <c r="AB15" s="144"/>
    </row>
    <row r="16" spans="1:28" ht="21">
      <c r="A16" s="202" t="s">
        <v>28</v>
      </c>
      <c r="B16" s="123">
        <f>B4-B9</f>
        <v>6583667</v>
      </c>
      <c r="C16" s="183"/>
      <c r="D16" s="144"/>
      <c r="E16" s="144"/>
      <c r="F16" s="144"/>
      <c r="G16" s="144"/>
      <c r="H16" s="177"/>
      <c r="I16" s="144"/>
      <c r="J16" s="144"/>
      <c r="K16" s="177"/>
      <c r="L16" s="144"/>
      <c r="M16" s="144"/>
      <c r="N16" s="177"/>
      <c r="O16" s="178">
        <v>0.021806</v>
      </c>
      <c r="P16" s="144"/>
      <c r="Q16" s="177"/>
      <c r="R16" s="144"/>
      <c r="S16" s="177"/>
      <c r="T16" s="184">
        <f>ROUND(B16*$O$16,2)+0.01</f>
        <v>143563.45</v>
      </c>
      <c r="U16" s="144"/>
      <c r="AB16" s="144"/>
    </row>
    <row r="17" spans="1:28" ht="21">
      <c r="A17" s="202" t="s">
        <v>29</v>
      </c>
      <c r="B17" s="123">
        <f>B5-B10</f>
        <v>3790814</v>
      </c>
      <c r="C17" s="183"/>
      <c r="D17" s="144"/>
      <c r="E17" s="144"/>
      <c r="F17" s="144"/>
      <c r="G17" s="144"/>
      <c r="H17" s="177"/>
      <c r="I17" s="144"/>
      <c r="J17" s="144"/>
      <c r="K17" s="177"/>
      <c r="L17" s="144"/>
      <c r="M17" s="144"/>
      <c r="N17" s="177"/>
      <c r="O17" s="178"/>
      <c r="P17" s="144"/>
      <c r="Q17" s="177"/>
      <c r="R17" s="144"/>
      <c r="S17" s="177"/>
      <c r="T17" s="184">
        <f>ROUND(B17*$O$16,2)+0.01</f>
        <v>82662.5</v>
      </c>
      <c r="U17" s="144"/>
      <c r="AB17" s="144"/>
    </row>
    <row r="18" spans="1:28" ht="21.6" thickBot="1">
      <c r="A18" s="203"/>
      <c r="B18" s="139">
        <f>SUM(B16:B17)</f>
        <v>10374481</v>
      </c>
      <c r="C18" s="131"/>
      <c r="D18" s="144"/>
      <c r="E18" s="144"/>
      <c r="F18" s="144"/>
      <c r="G18" s="144"/>
      <c r="H18" s="177"/>
      <c r="I18" s="144"/>
      <c r="J18" s="144"/>
      <c r="K18" s="177"/>
      <c r="L18" s="144"/>
      <c r="M18" s="144"/>
      <c r="N18" s="177"/>
      <c r="O18" s="178"/>
      <c r="P18" s="144"/>
      <c r="Q18" s="177"/>
      <c r="R18" s="144"/>
      <c r="S18" s="177"/>
      <c r="T18" s="182"/>
      <c r="U18" s="144"/>
      <c r="AB18" s="144"/>
    </row>
    <row r="19" spans="1:28" ht="21.6" thickTop="1">
      <c r="A19" s="204"/>
      <c r="B19" s="185"/>
      <c r="C19" s="185"/>
      <c r="D19" s="144"/>
      <c r="E19" s="144"/>
      <c r="F19" s="144"/>
      <c r="G19" s="144"/>
      <c r="H19" s="177"/>
      <c r="I19" s="144"/>
      <c r="J19" s="144"/>
      <c r="K19" s="177"/>
      <c r="L19" s="144"/>
      <c r="M19" s="144"/>
      <c r="N19" s="177"/>
      <c r="O19" s="144"/>
      <c r="P19" s="144"/>
      <c r="Q19" s="177"/>
      <c r="R19" s="144"/>
      <c r="S19" s="177"/>
      <c r="T19" s="182"/>
      <c r="U19" s="144"/>
      <c r="AB19" s="144"/>
    </row>
    <row r="20" spans="1:28" ht="21">
      <c r="A20" s="204"/>
      <c r="B20" s="144"/>
      <c r="C20" s="144"/>
      <c r="D20" s="144"/>
      <c r="E20" s="144"/>
      <c r="F20" s="144"/>
      <c r="G20" s="144"/>
      <c r="H20" s="177"/>
      <c r="I20" s="144"/>
      <c r="J20" s="144"/>
      <c r="K20" s="177"/>
      <c r="L20" s="144"/>
      <c r="M20" s="144"/>
      <c r="N20" s="177"/>
      <c r="O20" s="144"/>
      <c r="P20" s="144"/>
      <c r="Q20" s="177"/>
      <c r="T20" s="184"/>
      <c r="U20" s="144"/>
      <c r="AB20" s="144"/>
    </row>
    <row r="21" spans="1:28" s="112" customFormat="1" ht="14.25" customHeight="1">
      <c r="A21" s="201"/>
      <c r="B21" s="119"/>
      <c r="C21" s="119"/>
      <c r="D21" s="119"/>
      <c r="E21" s="119"/>
      <c r="F21" s="119"/>
      <c r="G21" s="153"/>
      <c r="H21" s="161"/>
      <c r="I21" s="119"/>
      <c r="J21" s="144"/>
      <c r="K21" s="177"/>
      <c r="L21" s="119"/>
      <c r="M21" s="119"/>
      <c r="N21" s="186"/>
      <c r="O21" s="119"/>
      <c r="P21" s="119"/>
      <c r="Q21" s="186"/>
      <c r="S21" s="102"/>
      <c r="T21" s="184"/>
      <c r="U21" s="119"/>
      <c r="AB21" s="119"/>
    </row>
    <row r="22" spans="1:28" s="112" customFormat="1" ht="33" customHeight="1">
      <c r="A22" s="201"/>
      <c r="B22" s="119"/>
      <c r="C22" s="207" t="s">
        <v>3</v>
      </c>
      <c r="D22" s="208" t="s">
        <v>4</v>
      </c>
      <c r="E22" s="208" t="s">
        <v>6</v>
      </c>
      <c r="F22" s="187" t="s">
        <v>19</v>
      </c>
      <c r="H22" s="161"/>
      <c r="I22" s="119"/>
      <c r="J22" s="119"/>
      <c r="K22" s="186"/>
      <c r="L22" s="119"/>
      <c r="M22" s="119"/>
      <c r="N22" s="186"/>
      <c r="O22" s="119"/>
      <c r="P22" s="119"/>
      <c r="Q22" s="186"/>
      <c r="S22" s="102"/>
      <c r="T22" s="184"/>
      <c r="U22" s="119"/>
      <c r="AB22" s="119"/>
    </row>
    <row r="23" spans="1:28" s="112" customFormat="1" ht="23.25" customHeight="1">
      <c r="A23" s="202" t="s">
        <v>28</v>
      </c>
      <c r="B23" s="188"/>
      <c r="C23" s="179">
        <v>1020014.18</v>
      </c>
      <c r="D23" s="182">
        <v>0</v>
      </c>
      <c r="E23" s="179">
        <v>69523.23</v>
      </c>
      <c r="F23" s="182">
        <v>5449.03</v>
      </c>
      <c r="H23" s="189"/>
      <c r="I23" s="188"/>
      <c r="J23" s="119"/>
      <c r="K23" s="186"/>
      <c r="L23" s="188"/>
      <c r="M23" s="188"/>
      <c r="N23" s="190"/>
      <c r="O23" s="188"/>
      <c r="P23" s="188"/>
      <c r="Q23" s="190"/>
      <c r="S23" s="102"/>
      <c r="T23" s="184">
        <f>C23+D23+E23+F23</f>
        <v>1094986.4400000002</v>
      </c>
      <c r="U23" s="119"/>
      <c r="AB23" s="119"/>
    </row>
    <row r="24" spans="1:28" s="112" customFormat="1" ht="21">
      <c r="A24" s="202" t="s">
        <v>29</v>
      </c>
      <c r="B24" s="188"/>
      <c r="C24" s="179">
        <v>778766.02</v>
      </c>
      <c r="D24" s="182">
        <v>0</v>
      </c>
      <c r="E24" s="179">
        <v>46538.93</v>
      </c>
      <c r="F24" s="182">
        <v>0</v>
      </c>
      <c r="H24" s="189"/>
      <c r="I24" s="188"/>
      <c r="J24" s="188"/>
      <c r="K24" s="190"/>
      <c r="L24" s="188"/>
      <c r="M24" s="188"/>
      <c r="N24" s="190"/>
      <c r="O24" s="188"/>
      <c r="P24" s="188"/>
      <c r="Q24" s="190"/>
      <c r="S24" s="102"/>
      <c r="T24" s="184">
        <f>C24+D24+E24+F24</f>
        <v>825304.9500000001</v>
      </c>
      <c r="U24" s="119"/>
      <c r="AB24" s="119"/>
    </row>
    <row r="25" spans="1:28" s="112" customFormat="1" ht="21.6" thickBot="1">
      <c r="A25" s="201"/>
      <c r="B25" s="188"/>
      <c r="C25" s="191">
        <f>SUM(C23:C24)</f>
        <v>1798780.2000000002</v>
      </c>
      <c r="D25" s="192">
        <f>SUM(D23:D24)</f>
        <v>0</v>
      </c>
      <c r="E25" s="191">
        <f>SUM(E23:E24)</f>
        <v>116062.16</v>
      </c>
      <c r="F25" s="192">
        <f>SUM(F23:F24)</f>
        <v>5449.03</v>
      </c>
      <c r="H25" s="189"/>
      <c r="I25" s="188"/>
      <c r="J25" s="188"/>
      <c r="K25" s="190"/>
      <c r="L25" s="188"/>
      <c r="M25" s="188"/>
      <c r="N25" s="190"/>
      <c r="O25" s="188"/>
      <c r="P25" s="188"/>
      <c r="Q25" s="190"/>
      <c r="S25" s="102"/>
      <c r="T25" s="164"/>
      <c r="U25" s="119"/>
      <c r="AB25" s="119"/>
    </row>
    <row r="26" spans="1:28" s="112" customFormat="1" ht="21.6" thickTop="1">
      <c r="A26" s="202" t="s">
        <v>28</v>
      </c>
      <c r="B26" s="188"/>
      <c r="C26" s="188"/>
      <c r="D26" s="179"/>
      <c r="E26" s="179"/>
      <c r="F26" s="179"/>
      <c r="G26" s="179"/>
      <c r="H26" s="190"/>
      <c r="I26" s="188"/>
      <c r="J26" s="188"/>
      <c r="K26" s="190"/>
      <c r="L26" s="188"/>
      <c r="M26" s="188"/>
      <c r="N26" s="190"/>
      <c r="O26" s="188"/>
      <c r="P26" s="188"/>
      <c r="Q26" s="190"/>
      <c r="S26" s="102"/>
      <c r="T26" s="164">
        <f>T4+T9+T23+T16</f>
        <v>17439754.36</v>
      </c>
      <c r="U26" s="119"/>
      <c r="AB26" s="119"/>
    </row>
    <row r="27" spans="1:28" s="112" customFormat="1" ht="21">
      <c r="A27" s="202" t="s">
        <v>29</v>
      </c>
      <c r="B27" s="188"/>
      <c r="C27" s="188"/>
      <c r="D27" s="188"/>
      <c r="E27" s="188"/>
      <c r="F27" s="188"/>
      <c r="G27" s="188"/>
      <c r="H27" s="190"/>
      <c r="I27" s="188"/>
      <c r="J27" s="188"/>
      <c r="K27" s="190"/>
      <c r="L27" s="188"/>
      <c r="M27" s="188"/>
      <c r="N27" s="190"/>
      <c r="O27" s="188"/>
      <c r="P27" s="188"/>
      <c r="Q27" s="190"/>
      <c r="S27" s="102"/>
      <c r="T27" s="193">
        <f>T5+T10+T24+T17</f>
        <v>13271471.209999999</v>
      </c>
      <c r="U27" s="119"/>
      <c r="AB27" s="119"/>
    </row>
    <row r="28" spans="1:28" s="112" customFormat="1" ht="21">
      <c r="A28" s="201" t="s">
        <v>5</v>
      </c>
      <c r="B28" s="188"/>
      <c r="C28" s="188"/>
      <c r="D28" s="188"/>
      <c r="E28" s="188">
        <f>+E24/D5</f>
        <v>0.03407802685591854</v>
      </c>
      <c r="F28" s="188"/>
      <c r="G28" s="188"/>
      <c r="H28" s="190"/>
      <c r="I28" s="188"/>
      <c r="J28" s="188"/>
      <c r="K28" s="190"/>
      <c r="L28" s="188"/>
      <c r="M28" s="188"/>
      <c r="N28" s="190"/>
      <c r="O28" s="188"/>
      <c r="P28" s="188"/>
      <c r="Q28" s="190"/>
      <c r="R28" s="194"/>
      <c r="S28" s="111"/>
      <c r="T28" s="164">
        <f>SUM(T26:T27)</f>
        <v>30711225.57</v>
      </c>
      <c r="U28" s="119"/>
      <c r="AB28" s="119"/>
    </row>
    <row r="29" spans="1:28" s="112" customFormat="1" ht="21">
      <c r="A29" s="201"/>
      <c r="B29" s="188"/>
      <c r="C29" s="188"/>
      <c r="D29" s="188"/>
      <c r="E29" s="188"/>
      <c r="F29" s="188"/>
      <c r="G29" s="188"/>
      <c r="H29" s="190"/>
      <c r="I29" s="188"/>
      <c r="J29" s="188"/>
      <c r="K29" s="190"/>
      <c r="L29" s="188"/>
      <c r="M29" s="188"/>
      <c r="N29" s="190"/>
      <c r="O29" s="188"/>
      <c r="P29" s="188"/>
      <c r="Q29" s="190"/>
      <c r="R29" s="194"/>
      <c r="S29" s="111"/>
      <c r="T29" s="164"/>
      <c r="U29" s="119"/>
      <c r="AB29" s="119"/>
    </row>
    <row r="30" spans="1:28" s="112" customFormat="1" ht="47.25" customHeight="1" thickBot="1">
      <c r="A30" s="206" t="s">
        <v>11</v>
      </c>
      <c r="B30" s="188"/>
      <c r="C30" s="188"/>
      <c r="D30" s="188"/>
      <c r="E30" s="188"/>
      <c r="F30" s="188"/>
      <c r="G30" s="188"/>
      <c r="H30" s="190"/>
      <c r="I30" s="188"/>
      <c r="J30" s="188"/>
      <c r="K30" s="190"/>
      <c r="L30" s="188"/>
      <c r="M30" s="188"/>
      <c r="N30" s="190"/>
      <c r="O30" s="188"/>
      <c r="P30" s="188"/>
      <c r="Q30" s="190"/>
      <c r="S30" s="102"/>
      <c r="T30" s="195">
        <f>SUM(T28:T29)</f>
        <v>30711225.57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K31" s="102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K32" s="102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4.6">
      <c r="B33" s="188"/>
      <c r="C33" s="188"/>
      <c r="D33" s="196"/>
      <c r="E33" s="197"/>
      <c r="F33" s="197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R33" s="119"/>
      <c r="S33" s="186"/>
      <c r="T33" s="119"/>
      <c r="U33" s="119"/>
      <c r="AB33" s="119"/>
    </row>
    <row r="34" spans="2:28" s="112" customFormat="1" ht="24.6">
      <c r="B34" s="188"/>
      <c r="C34" s="188"/>
      <c r="D34" s="196"/>
      <c r="E34" s="197"/>
      <c r="F34" s="197"/>
      <c r="G34" s="188"/>
      <c r="H34" s="190"/>
      <c r="I34" s="188"/>
      <c r="J34" s="188"/>
      <c r="K34" s="190"/>
      <c r="L34" s="188"/>
      <c r="M34" s="188"/>
      <c r="N34" s="190"/>
      <c r="O34" s="188"/>
      <c r="P34" s="188"/>
      <c r="Q34" s="190"/>
      <c r="R34" s="119"/>
      <c r="S34" s="186"/>
      <c r="T34" s="119"/>
      <c r="U34" s="119"/>
      <c r="AB34" s="119"/>
    </row>
    <row r="35" spans="2:28" s="112" customFormat="1" ht="15.6">
      <c r="B35" s="188"/>
      <c r="C35" s="188"/>
      <c r="D35" s="188"/>
      <c r="E35" s="188"/>
      <c r="F35" s="188"/>
      <c r="G35" s="188"/>
      <c r="H35" s="190"/>
      <c r="I35" s="188"/>
      <c r="J35" s="188"/>
      <c r="K35" s="190"/>
      <c r="L35" s="188"/>
      <c r="M35" s="188"/>
      <c r="N35" s="190"/>
      <c r="O35" s="188"/>
      <c r="P35" s="188"/>
      <c r="Q35" s="190"/>
      <c r="R35" s="119"/>
      <c r="S35" s="186"/>
      <c r="T35" s="119"/>
      <c r="U35" s="119"/>
      <c r="AB35" s="119"/>
    </row>
    <row r="36" spans="2:28" s="112" customFormat="1" ht="15.6">
      <c r="B36" s="188"/>
      <c r="C36" s="188"/>
      <c r="D36" s="188"/>
      <c r="E36" s="188"/>
      <c r="F36" s="188"/>
      <c r="G36" s="188"/>
      <c r="H36" s="190"/>
      <c r="I36" s="188"/>
      <c r="J36" s="188"/>
      <c r="K36" s="190"/>
      <c r="L36" s="188"/>
      <c r="M36" s="188"/>
      <c r="N36" s="190"/>
      <c r="O36" s="188"/>
      <c r="P36" s="188"/>
      <c r="Q36" s="190"/>
      <c r="R36" s="119"/>
      <c r="S36" s="186"/>
      <c r="T36" s="119"/>
      <c r="U36" s="119"/>
      <c r="AB36" s="119"/>
    </row>
    <row r="37" spans="2:28" s="112" customFormat="1" ht="15.6">
      <c r="B37" s="188"/>
      <c r="C37" s="188"/>
      <c r="D37" s="188"/>
      <c r="E37" s="188"/>
      <c r="F37" s="188"/>
      <c r="G37" s="188"/>
      <c r="H37" s="190"/>
      <c r="I37" s="188"/>
      <c r="J37" s="188"/>
      <c r="K37" s="190"/>
      <c r="L37" s="188"/>
      <c r="M37" s="188"/>
      <c r="N37" s="190"/>
      <c r="O37" s="188"/>
      <c r="P37" s="188"/>
      <c r="Q37" s="190"/>
      <c r="R37" s="119"/>
      <c r="S37" s="186"/>
      <c r="T37" s="119"/>
      <c r="U37" s="119"/>
      <c r="AB37" s="119"/>
    </row>
    <row r="38" spans="2:28" s="112" customFormat="1" ht="21">
      <c r="B38" s="188"/>
      <c r="C38" s="188"/>
      <c r="D38" s="198"/>
      <c r="E38" s="188"/>
      <c r="F38" s="188"/>
      <c r="G38" s="188"/>
      <c r="H38" s="190"/>
      <c r="I38" s="188"/>
      <c r="J38" s="188"/>
      <c r="K38" s="190"/>
      <c r="L38" s="188"/>
      <c r="M38" s="188"/>
      <c r="N38" s="190"/>
      <c r="O38" s="188"/>
      <c r="P38" s="188"/>
      <c r="Q38" s="190"/>
      <c r="S38" s="102"/>
      <c r="T38" s="126"/>
      <c r="U38" s="119"/>
      <c r="AB38" s="119"/>
    </row>
    <row r="39" spans="4:20" s="112" customFormat="1" ht="21">
      <c r="D39" s="198"/>
      <c r="H39" s="102"/>
      <c r="J39" s="188"/>
      <c r="K39" s="190"/>
      <c r="N39" s="102"/>
      <c r="Q39" s="102"/>
      <c r="S39" s="102"/>
      <c r="T39" s="129"/>
    </row>
    <row r="40" spans="8:20" s="112" customFormat="1" ht="22.8">
      <c r="H40" s="102"/>
      <c r="J40" s="188"/>
      <c r="K40" s="190"/>
      <c r="N40" s="102"/>
      <c r="Q40" s="102"/>
      <c r="S40" s="102"/>
      <c r="T40" s="199"/>
    </row>
    <row r="41" spans="10:20" ht="17.4">
      <c r="J41" s="112"/>
      <c r="K41" s="102"/>
      <c r="T41" s="200"/>
    </row>
    <row r="42" spans="10:20" ht="15.6">
      <c r="J42" s="112"/>
      <c r="K42" s="102"/>
      <c r="T42" s="153"/>
    </row>
    <row r="43" ht="15.6">
      <c r="T43" s="153"/>
    </row>
    <row r="44" spans="18:19" ht="15.6">
      <c r="R44" s="172"/>
      <c r="S44" s="173"/>
    </row>
    <row r="45" spans="18:20" ht="12.75">
      <c r="R45" s="144"/>
      <c r="S45" s="177"/>
      <c r="T45" s="144"/>
    </row>
    <row r="46" spans="18:20" ht="12.75">
      <c r="R46" s="144"/>
      <c r="S46" s="177"/>
      <c r="T46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2" horizontalDpi="600" verticalDpi="600" orientation="landscape" scale="49" r:id="rId1"/>
  <headerFooter>
    <oddHeader>&amp;C&amp;"Century Schoolbook,Bold"&amp;16Big Rivers Electric Corporation
Case No. 2012-00nnn
Revenue Summary Smelters
Base Period May 2012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="130" zoomScalePageLayoutView="130" workbookViewId="0" topLeftCell="A1"/>
  </sheetViews>
  <sheetFormatPr defaultColWidth="9.140625" defaultRowHeight="12.75"/>
  <cols>
    <col min="1" max="1" width="6.57421875" style="449" customWidth="1"/>
    <col min="2" max="2" width="37.00390625" style="449" customWidth="1"/>
    <col min="3" max="3" width="20.28125" style="449" customWidth="1"/>
    <col min="4" max="4" width="17.8515625" style="449" customWidth="1"/>
    <col min="5" max="5" width="16.8515625" style="449" bestFit="1" customWidth="1"/>
    <col min="6" max="6" width="19.140625" style="449" customWidth="1"/>
    <col min="7" max="16384" width="9.140625" style="449" customWidth="1"/>
  </cols>
  <sheetData>
    <row r="1" spans="1:6" ht="15.6">
      <c r="A1" s="450"/>
      <c r="B1" s="450"/>
      <c r="C1" s="450"/>
      <c r="D1" s="450"/>
      <c r="E1" s="450"/>
      <c r="F1" s="450"/>
    </row>
    <row r="2" spans="1:6" ht="15.6">
      <c r="A2" s="450"/>
      <c r="B2" s="450"/>
      <c r="C2" s="450"/>
      <c r="D2" s="450"/>
      <c r="E2" s="450"/>
      <c r="F2" s="450"/>
    </row>
    <row r="3" spans="1:6" ht="15.6">
      <c r="A3" s="450"/>
      <c r="B3" s="450"/>
      <c r="C3" s="451"/>
      <c r="D3" s="451"/>
      <c r="E3" s="451"/>
      <c r="F3" s="451"/>
    </row>
    <row r="4" spans="1:6" ht="15.6">
      <c r="A4" s="450"/>
      <c r="B4" s="450"/>
      <c r="C4" s="452">
        <v>2013</v>
      </c>
      <c r="D4" s="452">
        <v>2014</v>
      </c>
      <c r="E4" s="452">
        <v>2015</v>
      </c>
      <c r="F4" s="452">
        <v>2016</v>
      </c>
    </row>
    <row r="5" spans="1:6" ht="15.6">
      <c r="A5" s="450"/>
      <c r="B5" s="450"/>
      <c r="C5" s="450"/>
      <c r="D5" s="450"/>
      <c r="E5" s="450"/>
      <c r="F5" s="450"/>
    </row>
    <row r="6" spans="1:6" ht="15.6">
      <c r="A6" s="450"/>
      <c r="B6" s="450"/>
      <c r="C6" s="450"/>
      <c r="D6" s="450"/>
      <c r="E6" s="450"/>
      <c r="F6" s="450"/>
    </row>
    <row r="7" spans="1:6" ht="15.6">
      <c r="A7" s="453" t="s">
        <v>86</v>
      </c>
      <c r="B7" s="450" t="s">
        <v>88</v>
      </c>
      <c r="C7" s="454">
        <f>+'[3]Annual Sources and Uses'!$C$14</f>
        <v>301928.69</v>
      </c>
      <c r="D7" s="454">
        <f>+'[3]Annual Sources and Uses'!$D$14</f>
        <v>301928.69</v>
      </c>
      <c r="E7" s="454">
        <f>+'[3]Annual Sources and Uses'!$E$14</f>
        <v>266980.01</v>
      </c>
      <c r="F7" s="454">
        <f>+'[3]Annual Sources and Uses'!$F$14</f>
        <v>266980.01999999996</v>
      </c>
    </row>
    <row r="8" spans="1:6" ht="15.6">
      <c r="A8" s="453"/>
      <c r="B8" s="453" t="s">
        <v>89</v>
      </c>
      <c r="C8" s="455">
        <f>+'[4]PCM'!$Z$63*1000000</f>
        <v>8566298.5261</v>
      </c>
      <c r="D8" s="455">
        <f>+'[4]PCM'!$AM$63*1000000</f>
        <v>8663054.5261</v>
      </c>
      <c r="E8" s="455">
        <f>+'[4]PCM'!$AN$63*1000000</f>
        <v>12422228.399999999</v>
      </c>
      <c r="F8" s="455">
        <f>+'[4]PCM'!$AO$63*1000000</f>
        <v>12422228.399999999</v>
      </c>
    </row>
    <row r="9" spans="1:6" ht="15.6">
      <c r="A9" s="450"/>
      <c r="B9" s="450"/>
      <c r="C9" s="502"/>
      <c r="D9" s="502"/>
      <c r="E9" s="502"/>
      <c r="F9" s="502"/>
    </row>
    <row r="10" spans="1:6" ht="15.6">
      <c r="A10" s="453" t="s">
        <v>85</v>
      </c>
      <c r="B10" s="450" t="s">
        <v>90</v>
      </c>
      <c r="C10" s="454">
        <f>+SUM('[3]Monthly Sources and Uses'!$C$52:$N$52)</f>
        <v>244703.49999999994</v>
      </c>
      <c r="D10" s="454">
        <f>+SUM('[3]Monthly Sources and Uses'!$O$52:$Z$52)</f>
        <v>78809.09000000001</v>
      </c>
      <c r="E10" s="454">
        <f>+SUM('[3]Monthly Sources and Uses'!$AA$52:$AL$52)</f>
        <v>96011.57</v>
      </c>
      <c r="F10" s="454">
        <f>+SUM('[3]Monthly Sources and Uses'!$AM$52:$AX$52)</f>
        <v>119141.36000000002</v>
      </c>
    </row>
    <row r="11" spans="1:6" ht="15.6">
      <c r="A11" s="453"/>
      <c r="B11" s="453" t="s">
        <v>91</v>
      </c>
      <c r="C11" s="455">
        <f>+SUM('[3]Monthly Sources and Uses'!$C$70:$N$70)</f>
        <v>6172882.639599999</v>
      </c>
      <c r="D11" s="455">
        <f>+SUM('[3]Monthly Sources and Uses'!$O$70:$Z$70)</f>
        <v>1944278.9993999999</v>
      </c>
      <c r="E11" s="455">
        <f>+SUM('[3]Monthly Sources and Uses'!$AA$70:$AL$70)</f>
        <v>2505881.2575999997</v>
      </c>
      <c r="F11" s="455">
        <f>+SUM('[3]Monthly Sources and Uses'!$AM$70:$AX$70)</f>
        <v>3128298.6091</v>
      </c>
    </row>
    <row r="12" spans="1:6" ht="15.6">
      <c r="A12" s="453"/>
      <c r="B12" s="453"/>
      <c r="C12" s="503"/>
      <c r="D12" s="503"/>
      <c r="E12" s="503"/>
      <c r="F12" s="503"/>
    </row>
    <row r="13" spans="1:6" ht="15.6">
      <c r="A13" s="453" t="s">
        <v>87</v>
      </c>
      <c r="B13" s="453" t="s">
        <v>92</v>
      </c>
      <c r="C13" s="454">
        <f>+SUM('[4]PCM'!$Z$6:$Z$9)*1000000</f>
        <v>9173398.882199999</v>
      </c>
      <c r="D13" s="454">
        <f>+SUM('[4]PCM'!$AM$6:$AM$9)*1000000</f>
        <v>6551699.078999999</v>
      </c>
      <c r="E13" s="454">
        <f>+SUM('[4]PCM'!$AN$6:$AN$9)*1000000</f>
        <v>6582561.079</v>
      </c>
      <c r="F13" s="454">
        <f>+SUM('[4]PCM'!$AO$6:$AO$9)*1000000+1</f>
        <v>6631406.338199999</v>
      </c>
    </row>
    <row r="14" spans="1:6" ht="15.6">
      <c r="A14" s="453"/>
      <c r="B14" s="453" t="s">
        <v>93</v>
      </c>
      <c r="C14" s="455">
        <f>+SUM('[5]Summary'!$E$28:$E$30)-9</f>
        <v>492388163</v>
      </c>
      <c r="D14" s="455">
        <f>+SUM('[5]Summary'!$F$28:$F$30)-67</f>
        <v>428077547</v>
      </c>
      <c r="E14" s="455">
        <f>+SUM('[5]Summary'!$G$28:$G$30)-55</f>
        <v>446744269</v>
      </c>
      <c r="F14" s="455">
        <f>+SUM('[5]Summary'!$H$28:$H$30)+14</f>
        <v>463268805</v>
      </c>
    </row>
    <row r="15" spans="1:6" ht="15.6">
      <c r="A15" s="453"/>
      <c r="B15" s="453"/>
      <c r="C15" s="455"/>
      <c r="D15" s="455"/>
      <c r="E15" s="455"/>
      <c r="F15" s="455"/>
    </row>
    <row r="16" spans="1:6" ht="15.6">
      <c r="A16" s="453" t="s">
        <v>94</v>
      </c>
      <c r="B16" s="453" t="s">
        <v>95</v>
      </c>
      <c r="C16" s="454">
        <f>+'[4]PCM'!$Z$10*1000000</f>
        <v>1603328.547800001</v>
      </c>
      <c r="D16" s="454">
        <f>+'[4]PCM'!$AM$10*1000000</f>
        <v>1766810.8509999993</v>
      </c>
      <c r="E16" s="454">
        <f>+'[4]PCM'!$AN$10*1000000</f>
        <v>1708235.921</v>
      </c>
      <c r="F16" s="454">
        <f>+'[4]PCM'!$AO$10*1000000</f>
        <v>1627375.8318000003</v>
      </c>
    </row>
    <row r="17" spans="1:6" ht="15.6">
      <c r="A17" s="450"/>
      <c r="B17" s="453" t="s">
        <v>96</v>
      </c>
      <c r="C17" s="455">
        <f>+'[4]Stmts RUS'!$S$196*1000000</f>
        <v>49348066.05626322</v>
      </c>
      <c r="D17" s="455">
        <f>+'[4]Stmts RUS'!$AF$196*1000000</f>
        <v>55994297.42549452</v>
      </c>
      <c r="E17" s="455">
        <f>+'[4]Stmts RUS'!$AG$196*1000000</f>
        <v>58736209.83581256</v>
      </c>
      <c r="F17" s="455">
        <f>+'[4]Stmts RUS'!$AH$196*1000000</f>
        <v>57872900.04837578</v>
      </c>
    </row>
    <row r="18" spans="1:6" ht="15.6">
      <c r="A18" s="450"/>
      <c r="B18" s="450"/>
      <c r="C18" s="450"/>
      <c r="D18" s="450"/>
      <c r="E18" s="450"/>
      <c r="F18" s="450"/>
    </row>
    <row r="19" spans="1:6" ht="15.6">
      <c r="A19" s="450"/>
      <c r="B19" s="450"/>
      <c r="C19" s="450"/>
      <c r="D19" s="450"/>
      <c r="E19" s="450"/>
      <c r="F19" s="450"/>
    </row>
  </sheetData>
  <printOptions/>
  <pageMargins left="0.7" right="0.7" top="1.4583333333333333" bottom="1.1354166666666667" header="0.3" footer="0.3"/>
  <pageSetup horizontalDpi="600" verticalDpi="600" orientation="landscape" r:id="rId1"/>
  <headerFooter>
    <oddHeader>&amp;C&amp;"Times New Roman,Bold"&amp;12Big Rivers Electric Corporation
Case No. 2012-00535
Attachment to Response for SC 2-8
</oddHeader>
    <oddFooter>&amp;L&amp;"Times New Roman,Bold"&amp;12Case No. 2012-00535
Attachment to Response for SC 2-8
Witness: Lindsay N. Barron 
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view="pageLayout" zoomScale="70" zoomScaleSheetLayoutView="100" zoomScalePageLayoutView="70" workbookViewId="0" topLeftCell="O1">
      <selection activeCell="B67" sqref="B67"/>
    </sheetView>
  </sheetViews>
  <sheetFormatPr defaultColWidth="9.140625" defaultRowHeight="12.75"/>
  <cols>
    <col min="1" max="1" width="32.57421875" style="371" customWidth="1"/>
    <col min="2" max="4" width="16.421875" style="371" bestFit="1" customWidth="1"/>
    <col min="5" max="5" width="4.421875" style="390" customWidth="1"/>
    <col min="6" max="6" width="27.57421875" style="371" customWidth="1"/>
    <col min="7" max="9" width="16.421875" style="371" bestFit="1" customWidth="1"/>
    <col min="10" max="10" width="4.8515625" style="390" customWidth="1"/>
    <col min="11" max="11" width="33.00390625" style="371" bestFit="1" customWidth="1"/>
    <col min="12" max="14" width="16.421875" style="371" bestFit="1" customWidth="1"/>
    <col min="15" max="15" width="4.421875" style="390" customWidth="1"/>
    <col min="16" max="16" width="33.00390625" style="371" bestFit="1" customWidth="1"/>
    <col min="17" max="19" width="16.421875" style="371" bestFit="1" customWidth="1"/>
    <col min="20" max="20" width="3.8515625" style="390" customWidth="1"/>
    <col min="21" max="21" width="33.00390625" style="371" bestFit="1" customWidth="1"/>
    <col min="22" max="24" width="18.7109375" style="371" bestFit="1" customWidth="1"/>
    <col min="25" max="25" width="5.00390625" style="371" customWidth="1"/>
    <col min="26" max="28" width="15.28125" style="371" bestFit="1" customWidth="1"/>
    <col min="29" max="29" width="5.00390625" style="371" customWidth="1"/>
    <col min="30" max="32" width="18.7109375" style="371" bestFit="1" customWidth="1"/>
    <col min="33" max="33" width="4.421875" style="371" customWidth="1"/>
    <col min="34" max="36" width="18.7109375" style="371" bestFit="1" customWidth="1"/>
    <col min="37" max="37" width="4.421875" style="371" customWidth="1"/>
    <col min="38" max="39" width="15.28125" style="371" bestFit="1" customWidth="1"/>
    <col min="40" max="40" width="17.28125" style="371" bestFit="1" customWidth="1"/>
    <col min="41" max="41" width="5.00390625" style="371" customWidth="1"/>
    <col min="42" max="43" width="15.28125" style="371" bestFit="1" customWidth="1"/>
    <col min="44" max="44" width="18.7109375" style="371" bestFit="1" customWidth="1"/>
    <col min="45" max="45" width="5.00390625" style="371" customWidth="1"/>
    <col min="46" max="47" width="15.28125" style="371" bestFit="1" customWidth="1"/>
    <col min="48" max="48" width="18.7109375" style="371" bestFit="1" customWidth="1"/>
    <col min="49" max="49" width="5.00390625" style="371" customWidth="1"/>
    <col min="50" max="51" width="15.28125" style="371" bestFit="1" customWidth="1"/>
    <col min="52" max="52" width="17.28125" style="371" bestFit="1" customWidth="1"/>
    <col min="53" max="53" width="5.00390625" style="371" customWidth="1"/>
    <col min="54" max="56" width="18.7109375" style="371" bestFit="1" customWidth="1"/>
    <col min="57" max="288" width="9.140625" style="371" customWidth="1"/>
    <col min="289" max="289" width="31.57421875" style="371" customWidth="1"/>
    <col min="290" max="292" width="11.7109375" style="371" bestFit="1" customWidth="1"/>
    <col min="293" max="293" width="5.00390625" style="371" customWidth="1"/>
    <col min="294" max="294" width="13.28125" style="371" customWidth="1"/>
    <col min="295" max="296" width="11.7109375" style="371" customWidth="1"/>
    <col min="297" max="297" width="5.00390625" style="371" customWidth="1"/>
    <col min="298" max="300" width="11.7109375" style="371" bestFit="1" customWidth="1"/>
    <col min="301" max="544" width="9.140625" style="371" customWidth="1"/>
    <col min="545" max="545" width="31.57421875" style="371" customWidth="1"/>
    <col min="546" max="548" width="11.7109375" style="371" bestFit="1" customWidth="1"/>
    <col min="549" max="549" width="5.00390625" style="371" customWidth="1"/>
    <col min="550" max="550" width="13.28125" style="371" customWidth="1"/>
    <col min="551" max="552" width="11.7109375" style="371" customWidth="1"/>
    <col min="553" max="553" width="5.00390625" style="371" customWidth="1"/>
    <col min="554" max="556" width="11.7109375" style="371" bestFit="1" customWidth="1"/>
    <col min="557" max="800" width="9.140625" style="371" customWidth="1"/>
    <col min="801" max="801" width="31.57421875" style="371" customWidth="1"/>
    <col min="802" max="804" width="11.7109375" style="371" bestFit="1" customWidth="1"/>
    <col min="805" max="805" width="5.00390625" style="371" customWidth="1"/>
    <col min="806" max="806" width="13.28125" style="371" customWidth="1"/>
    <col min="807" max="808" width="11.7109375" style="371" customWidth="1"/>
    <col min="809" max="809" width="5.00390625" style="371" customWidth="1"/>
    <col min="810" max="812" width="11.7109375" style="371" bestFit="1" customWidth="1"/>
    <col min="813" max="1056" width="9.140625" style="371" customWidth="1"/>
    <col min="1057" max="1057" width="31.57421875" style="371" customWidth="1"/>
    <col min="1058" max="1060" width="11.7109375" style="371" bestFit="1" customWidth="1"/>
    <col min="1061" max="1061" width="5.00390625" style="371" customWidth="1"/>
    <col min="1062" max="1062" width="13.28125" style="371" customWidth="1"/>
    <col min="1063" max="1064" width="11.7109375" style="371" customWidth="1"/>
    <col min="1065" max="1065" width="5.00390625" style="371" customWidth="1"/>
    <col min="1066" max="1068" width="11.7109375" style="371" bestFit="1" customWidth="1"/>
    <col min="1069" max="1312" width="9.140625" style="371" customWidth="1"/>
    <col min="1313" max="1313" width="31.57421875" style="371" customWidth="1"/>
    <col min="1314" max="1316" width="11.7109375" style="371" bestFit="1" customWidth="1"/>
    <col min="1317" max="1317" width="5.00390625" style="371" customWidth="1"/>
    <col min="1318" max="1318" width="13.28125" style="371" customWidth="1"/>
    <col min="1319" max="1320" width="11.7109375" style="371" customWidth="1"/>
    <col min="1321" max="1321" width="5.00390625" style="371" customWidth="1"/>
    <col min="1322" max="1324" width="11.7109375" style="371" bestFit="1" customWidth="1"/>
    <col min="1325" max="1568" width="9.140625" style="371" customWidth="1"/>
    <col min="1569" max="1569" width="31.57421875" style="371" customWidth="1"/>
    <col min="1570" max="1572" width="11.7109375" style="371" bestFit="1" customWidth="1"/>
    <col min="1573" max="1573" width="5.00390625" style="371" customWidth="1"/>
    <col min="1574" max="1574" width="13.28125" style="371" customWidth="1"/>
    <col min="1575" max="1576" width="11.7109375" style="371" customWidth="1"/>
    <col min="1577" max="1577" width="5.00390625" style="371" customWidth="1"/>
    <col min="1578" max="1580" width="11.7109375" style="371" bestFit="1" customWidth="1"/>
    <col min="1581" max="1824" width="9.140625" style="371" customWidth="1"/>
    <col min="1825" max="1825" width="31.57421875" style="371" customWidth="1"/>
    <col min="1826" max="1828" width="11.7109375" style="371" bestFit="1" customWidth="1"/>
    <col min="1829" max="1829" width="5.00390625" style="371" customWidth="1"/>
    <col min="1830" max="1830" width="13.28125" style="371" customWidth="1"/>
    <col min="1831" max="1832" width="11.7109375" style="371" customWidth="1"/>
    <col min="1833" max="1833" width="5.00390625" style="371" customWidth="1"/>
    <col min="1834" max="1836" width="11.7109375" style="371" bestFit="1" customWidth="1"/>
    <col min="1837" max="2080" width="9.140625" style="371" customWidth="1"/>
    <col min="2081" max="2081" width="31.57421875" style="371" customWidth="1"/>
    <col min="2082" max="2084" width="11.7109375" style="371" bestFit="1" customWidth="1"/>
    <col min="2085" max="2085" width="5.00390625" style="371" customWidth="1"/>
    <col min="2086" max="2086" width="13.28125" style="371" customWidth="1"/>
    <col min="2087" max="2088" width="11.7109375" style="371" customWidth="1"/>
    <col min="2089" max="2089" width="5.00390625" style="371" customWidth="1"/>
    <col min="2090" max="2092" width="11.7109375" style="371" bestFit="1" customWidth="1"/>
    <col min="2093" max="2336" width="9.140625" style="371" customWidth="1"/>
    <col min="2337" max="2337" width="31.57421875" style="371" customWidth="1"/>
    <col min="2338" max="2340" width="11.7109375" style="371" bestFit="1" customWidth="1"/>
    <col min="2341" max="2341" width="5.00390625" style="371" customWidth="1"/>
    <col min="2342" max="2342" width="13.28125" style="371" customWidth="1"/>
    <col min="2343" max="2344" width="11.7109375" style="371" customWidth="1"/>
    <col min="2345" max="2345" width="5.00390625" style="371" customWidth="1"/>
    <col min="2346" max="2348" width="11.7109375" style="371" bestFit="1" customWidth="1"/>
    <col min="2349" max="2592" width="9.140625" style="371" customWidth="1"/>
    <col min="2593" max="2593" width="31.57421875" style="371" customWidth="1"/>
    <col min="2594" max="2596" width="11.7109375" style="371" bestFit="1" customWidth="1"/>
    <col min="2597" max="2597" width="5.00390625" style="371" customWidth="1"/>
    <col min="2598" max="2598" width="13.28125" style="371" customWidth="1"/>
    <col min="2599" max="2600" width="11.7109375" style="371" customWidth="1"/>
    <col min="2601" max="2601" width="5.00390625" style="371" customWidth="1"/>
    <col min="2602" max="2604" width="11.7109375" style="371" bestFit="1" customWidth="1"/>
    <col min="2605" max="2848" width="9.140625" style="371" customWidth="1"/>
    <col min="2849" max="2849" width="31.57421875" style="371" customWidth="1"/>
    <col min="2850" max="2852" width="11.7109375" style="371" bestFit="1" customWidth="1"/>
    <col min="2853" max="2853" width="5.00390625" style="371" customWidth="1"/>
    <col min="2854" max="2854" width="13.28125" style="371" customWidth="1"/>
    <col min="2855" max="2856" width="11.7109375" style="371" customWidth="1"/>
    <col min="2857" max="2857" width="5.00390625" style="371" customWidth="1"/>
    <col min="2858" max="2860" width="11.7109375" style="371" bestFit="1" customWidth="1"/>
    <col min="2861" max="3104" width="9.140625" style="371" customWidth="1"/>
    <col min="3105" max="3105" width="31.57421875" style="371" customWidth="1"/>
    <col min="3106" max="3108" width="11.7109375" style="371" bestFit="1" customWidth="1"/>
    <col min="3109" max="3109" width="5.00390625" style="371" customWidth="1"/>
    <col min="3110" max="3110" width="13.28125" style="371" customWidth="1"/>
    <col min="3111" max="3112" width="11.7109375" style="371" customWidth="1"/>
    <col min="3113" max="3113" width="5.00390625" style="371" customWidth="1"/>
    <col min="3114" max="3116" width="11.7109375" style="371" bestFit="1" customWidth="1"/>
    <col min="3117" max="3360" width="9.140625" style="371" customWidth="1"/>
    <col min="3361" max="3361" width="31.57421875" style="371" customWidth="1"/>
    <col min="3362" max="3364" width="11.7109375" style="371" bestFit="1" customWidth="1"/>
    <col min="3365" max="3365" width="5.00390625" style="371" customWidth="1"/>
    <col min="3366" max="3366" width="13.28125" style="371" customWidth="1"/>
    <col min="3367" max="3368" width="11.7109375" style="371" customWidth="1"/>
    <col min="3369" max="3369" width="5.00390625" style="371" customWidth="1"/>
    <col min="3370" max="3372" width="11.7109375" style="371" bestFit="1" customWidth="1"/>
    <col min="3373" max="3616" width="9.140625" style="371" customWidth="1"/>
    <col min="3617" max="3617" width="31.57421875" style="371" customWidth="1"/>
    <col min="3618" max="3620" width="11.7109375" style="371" bestFit="1" customWidth="1"/>
    <col min="3621" max="3621" width="5.00390625" style="371" customWidth="1"/>
    <col min="3622" max="3622" width="13.28125" style="371" customWidth="1"/>
    <col min="3623" max="3624" width="11.7109375" style="371" customWidth="1"/>
    <col min="3625" max="3625" width="5.00390625" style="371" customWidth="1"/>
    <col min="3626" max="3628" width="11.7109375" style="371" bestFit="1" customWidth="1"/>
    <col min="3629" max="3872" width="9.140625" style="371" customWidth="1"/>
    <col min="3873" max="3873" width="31.57421875" style="371" customWidth="1"/>
    <col min="3874" max="3876" width="11.7109375" style="371" bestFit="1" customWidth="1"/>
    <col min="3877" max="3877" width="5.00390625" style="371" customWidth="1"/>
    <col min="3878" max="3878" width="13.28125" style="371" customWidth="1"/>
    <col min="3879" max="3880" width="11.7109375" style="371" customWidth="1"/>
    <col min="3881" max="3881" width="5.00390625" style="371" customWidth="1"/>
    <col min="3882" max="3884" width="11.7109375" style="371" bestFit="1" customWidth="1"/>
    <col min="3885" max="4128" width="9.140625" style="371" customWidth="1"/>
    <col min="4129" max="4129" width="31.57421875" style="371" customWidth="1"/>
    <col min="4130" max="4132" width="11.7109375" style="371" bestFit="1" customWidth="1"/>
    <col min="4133" max="4133" width="5.00390625" style="371" customWidth="1"/>
    <col min="4134" max="4134" width="13.28125" style="371" customWidth="1"/>
    <col min="4135" max="4136" width="11.7109375" style="371" customWidth="1"/>
    <col min="4137" max="4137" width="5.00390625" style="371" customWidth="1"/>
    <col min="4138" max="4140" width="11.7109375" style="371" bestFit="1" customWidth="1"/>
    <col min="4141" max="4384" width="9.140625" style="371" customWidth="1"/>
    <col min="4385" max="4385" width="31.57421875" style="371" customWidth="1"/>
    <col min="4386" max="4388" width="11.7109375" style="371" bestFit="1" customWidth="1"/>
    <col min="4389" max="4389" width="5.00390625" style="371" customWidth="1"/>
    <col min="4390" max="4390" width="13.28125" style="371" customWidth="1"/>
    <col min="4391" max="4392" width="11.7109375" style="371" customWidth="1"/>
    <col min="4393" max="4393" width="5.00390625" style="371" customWidth="1"/>
    <col min="4394" max="4396" width="11.7109375" style="371" bestFit="1" customWidth="1"/>
    <col min="4397" max="4640" width="9.140625" style="371" customWidth="1"/>
    <col min="4641" max="4641" width="31.57421875" style="371" customWidth="1"/>
    <col min="4642" max="4644" width="11.7109375" style="371" bestFit="1" customWidth="1"/>
    <col min="4645" max="4645" width="5.00390625" style="371" customWidth="1"/>
    <col min="4646" max="4646" width="13.28125" style="371" customWidth="1"/>
    <col min="4647" max="4648" width="11.7109375" style="371" customWidth="1"/>
    <col min="4649" max="4649" width="5.00390625" style="371" customWidth="1"/>
    <col min="4650" max="4652" width="11.7109375" style="371" bestFit="1" customWidth="1"/>
    <col min="4653" max="4896" width="9.140625" style="371" customWidth="1"/>
    <col min="4897" max="4897" width="31.57421875" style="371" customWidth="1"/>
    <col min="4898" max="4900" width="11.7109375" style="371" bestFit="1" customWidth="1"/>
    <col min="4901" max="4901" width="5.00390625" style="371" customWidth="1"/>
    <col min="4902" max="4902" width="13.28125" style="371" customWidth="1"/>
    <col min="4903" max="4904" width="11.7109375" style="371" customWidth="1"/>
    <col min="4905" max="4905" width="5.00390625" style="371" customWidth="1"/>
    <col min="4906" max="4908" width="11.7109375" style="371" bestFit="1" customWidth="1"/>
    <col min="4909" max="5152" width="9.140625" style="371" customWidth="1"/>
    <col min="5153" max="5153" width="31.57421875" style="371" customWidth="1"/>
    <col min="5154" max="5156" width="11.7109375" style="371" bestFit="1" customWidth="1"/>
    <col min="5157" max="5157" width="5.00390625" style="371" customWidth="1"/>
    <col min="5158" max="5158" width="13.28125" style="371" customWidth="1"/>
    <col min="5159" max="5160" width="11.7109375" style="371" customWidth="1"/>
    <col min="5161" max="5161" width="5.00390625" style="371" customWidth="1"/>
    <col min="5162" max="5164" width="11.7109375" style="371" bestFit="1" customWidth="1"/>
    <col min="5165" max="5408" width="9.140625" style="371" customWidth="1"/>
    <col min="5409" max="5409" width="31.57421875" style="371" customWidth="1"/>
    <col min="5410" max="5412" width="11.7109375" style="371" bestFit="1" customWidth="1"/>
    <col min="5413" max="5413" width="5.00390625" style="371" customWidth="1"/>
    <col min="5414" max="5414" width="13.28125" style="371" customWidth="1"/>
    <col min="5415" max="5416" width="11.7109375" style="371" customWidth="1"/>
    <col min="5417" max="5417" width="5.00390625" style="371" customWidth="1"/>
    <col min="5418" max="5420" width="11.7109375" style="371" bestFit="1" customWidth="1"/>
    <col min="5421" max="5664" width="9.140625" style="371" customWidth="1"/>
    <col min="5665" max="5665" width="31.57421875" style="371" customWidth="1"/>
    <col min="5666" max="5668" width="11.7109375" style="371" bestFit="1" customWidth="1"/>
    <col min="5669" max="5669" width="5.00390625" style="371" customWidth="1"/>
    <col min="5670" max="5670" width="13.28125" style="371" customWidth="1"/>
    <col min="5671" max="5672" width="11.7109375" style="371" customWidth="1"/>
    <col min="5673" max="5673" width="5.00390625" style="371" customWidth="1"/>
    <col min="5674" max="5676" width="11.7109375" style="371" bestFit="1" customWidth="1"/>
    <col min="5677" max="5920" width="9.140625" style="371" customWidth="1"/>
    <col min="5921" max="5921" width="31.57421875" style="371" customWidth="1"/>
    <col min="5922" max="5924" width="11.7109375" style="371" bestFit="1" customWidth="1"/>
    <col min="5925" max="5925" width="5.00390625" style="371" customWidth="1"/>
    <col min="5926" max="5926" width="13.28125" style="371" customWidth="1"/>
    <col min="5927" max="5928" width="11.7109375" style="371" customWidth="1"/>
    <col min="5929" max="5929" width="5.00390625" style="371" customWidth="1"/>
    <col min="5930" max="5932" width="11.7109375" style="371" bestFit="1" customWidth="1"/>
    <col min="5933" max="6176" width="9.140625" style="371" customWidth="1"/>
    <col min="6177" max="6177" width="31.57421875" style="371" customWidth="1"/>
    <col min="6178" max="6180" width="11.7109375" style="371" bestFit="1" customWidth="1"/>
    <col min="6181" max="6181" width="5.00390625" style="371" customWidth="1"/>
    <col min="6182" max="6182" width="13.28125" style="371" customWidth="1"/>
    <col min="6183" max="6184" width="11.7109375" style="371" customWidth="1"/>
    <col min="6185" max="6185" width="5.00390625" style="371" customWidth="1"/>
    <col min="6186" max="6188" width="11.7109375" style="371" bestFit="1" customWidth="1"/>
    <col min="6189" max="6432" width="9.140625" style="371" customWidth="1"/>
    <col min="6433" max="6433" width="31.57421875" style="371" customWidth="1"/>
    <col min="6434" max="6436" width="11.7109375" style="371" bestFit="1" customWidth="1"/>
    <col min="6437" max="6437" width="5.00390625" style="371" customWidth="1"/>
    <col min="6438" max="6438" width="13.28125" style="371" customWidth="1"/>
    <col min="6439" max="6440" width="11.7109375" style="371" customWidth="1"/>
    <col min="6441" max="6441" width="5.00390625" style="371" customWidth="1"/>
    <col min="6442" max="6444" width="11.7109375" style="371" bestFit="1" customWidth="1"/>
    <col min="6445" max="6688" width="9.140625" style="371" customWidth="1"/>
    <col min="6689" max="6689" width="31.57421875" style="371" customWidth="1"/>
    <col min="6690" max="6692" width="11.7109375" style="371" bestFit="1" customWidth="1"/>
    <col min="6693" max="6693" width="5.00390625" style="371" customWidth="1"/>
    <col min="6694" max="6694" width="13.28125" style="371" customWidth="1"/>
    <col min="6695" max="6696" width="11.7109375" style="371" customWidth="1"/>
    <col min="6697" max="6697" width="5.00390625" style="371" customWidth="1"/>
    <col min="6698" max="6700" width="11.7109375" style="371" bestFit="1" customWidth="1"/>
    <col min="6701" max="6944" width="9.140625" style="371" customWidth="1"/>
    <col min="6945" max="6945" width="31.57421875" style="371" customWidth="1"/>
    <col min="6946" max="6948" width="11.7109375" style="371" bestFit="1" customWidth="1"/>
    <col min="6949" max="6949" width="5.00390625" style="371" customWidth="1"/>
    <col min="6950" max="6950" width="13.28125" style="371" customWidth="1"/>
    <col min="6951" max="6952" width="11.7109375" style="371" customWidth="1"/>
    <col min="6953" max="6953" width="5.00390625" style="371" customWidth="1"/>
    <col min="6954" max="6956" width="11.7109375" style="371" bestFit="1" customWidth="1"/>
    <col min="6957" max="7200" width="9.140625" style="371" customWidth="1"/>
    <col min="7201" max="7201" width="31.57421875" style="371" customWidth="1"/>
    <col min="7202" max="7204" width="11.7109375" style="371" bestFit="1" customWidth="1"/>
    <col min="7205" max="7205" width="5.00390625" style="371" customWidth="1"/>
    <col min="7206" max="7206" width="13.28125" style="371" customWidth="1"/>
    <col min="7207" max="7208" width="11.7109375" style="371" customWidth="1"/>
    <col min="7209" max="7209" width="5.00390625" style="371" customWidth="1"/>
    <col min="7210" max="7212" width="11.7109375" style="371" bestFit="1" customWidth="1"/>
    <col min="7213" max="7456" width="9.140625" style="371" customWidth="1"/>
    <col min="7457" max="7457" width="31.57421875" style="371" customWidth="1"/>
    <col min="7458" max="7460" width="11.7109375" style="371" bestFit="1" customWidth="1"/>
    <col min="7461" max="7461" width="5.00390625" style="371" customWidth="1"/>
    <col min="7462" max="7462" width="13.28125" style="371" customWidth="1"/>
    <col min="7463" max="7464" width="11.7109375" style="371" customWidth="1"/>
    <col min="7465" max="7465" width="5.00390625" style="371" customWidth="1"/>
    <col min="7466" max="7468" width="11.7109375" style="371" bestFit="1" customWidth="1"/>
    <col min="7469" max="7712" width="9.140625" style="371" customWidth="1"/>
    <col min="7713" max="7713" width="31.57421875" style="371" customWidth="1"/>
    <col min="7714" max="7716" width="11.7109375" style="371" bestFit="1" customWidth="1"/>
    <col min="7717" max="7717" width="5.00390625" style="371" customWidth="1"/>
    <col min="7718" max="7718" width="13.28125" style="371" customWidth="1"/>
    <col min="7719" max="7720" width="11.7109375" style="371" customWidth="1"/>
    <col min="7721" max="7721" width="5.00390625" style="371" customWidth="1"/>
    <col min="7722" max="7724" width="11.7109375" style="371" bestFit="1" customWidth="1"/>
    <col min="7725" max="7968" width="9.140625" style="371" customWidth="1"/>
    <col min="7969" max="7969" width="31.57421875" style="371" customWidth="1"/>
    <col min="7970" max="7972" width="11.7109375" style="371" bestFit="1" customWidth="1"/>
    <col min="7973" max="7973" width="5.00390625" style="371" customWidth="1"/>
    <col min="7974" max="7974" width="13.28125" style="371" customWidth="1"/>
    <col min="7975" max="7976" width="11.7109375" style="371" customWidth="1"/>
    <col min="7977" max="7977" width="5.00390625" style="371" customWidth="1"/>
    <col min="7978" max="7980" width="11.7109375" style="371" bestFit="1" customWidth="1"/>
    <col min="7981" max="8224" width="9.140625" style="371" customWidth="1"/>
    <col min="8225" max="8225" width="31.57421875" style="371" customWidth="1"/>
    <col min="8226" max="8228" width="11.7109375" style="371" bestFit="1" customWidth="1"/>
    <col min="8229" max="8229" width="5.00390625" style="371" customWidth="1"/>
    <col min="8230" max="8230" width="13.28125" style="371" customWidth="1"/>
    <col min="8231" max="8232" width="11.7109375" style="371" customWidth="1"/>
    <col min="8233" max="8233" width="5.00390625" style="371" customWidth="1"/>
    <col min="8234" max="8236" width="11.7109375" style="371" bestFit="1" customWidth="1"/>
    <col min="8237" max="8480" width="9.140625" style="371" customWidth="1"/>
    <col min="8481" max="8481" width="31.57421875" style="371" customWidth="1"/>
    <col min="8482" max="8484" width="11.7109375" style="371" bestFit="1" customWidth="1"/>
    <col min="8485" max="8485" width="5.00390625" style="371" customWidth="1"/>
    <col min="8486" max="8486" width="13.28125" style="371" customWidth="1"/>
    <col min="8487" max="8488" width="11.7109375" style="371" customWidth="1"/>
    <col min="8489" max="8489" width="5.00390625" style="371" customWidth="1"/>
    <col min="8490" max="8492" width="11.7109375" style="371" bestFit="1" customWidth="1"/>
    <col min="8493" max="8736" width="9.140625" style="371" customWidth="1"/>
    <col min="8737" max="8737" width="31.57421875" style="371" customWidth="1"/>
    <col min="8738" max="8740" width="11.7109375" style="371" bestFit="1" customWidth="1"/>
    <col min="8741" max="8741" width="5.00390625" style="371" customWidth="1"/>
    <col min="8742" max="8742" width="13.28125" style="371" customWidth="1"/>
    <col min="8743" max="8744" width="11.7109375" style="371" customWidth="1"/>
    <col min="8745" max="8745" width="5.00390625" style="371" customWidth="1"/>
    <col min="8746" max="8748" width="11.7109375" style="371" bestFit="1" customWidth="1"/>
    <col min="8749" max="8992" width="9.140625" style="371" customWidth="1"/>
    <col min="8993" max="8993" width="31.57421875" style="371" customWidth="1"/>
    <col min="8994" max="8996" width="11.7109375" style="371" bestFit="1" customWidth="1"/>
    <col min="8997" max="8997" width="5.00390625" style="371" customWidth="1"/>
    <col min="8998" max="8998" width="13.28125" style="371" customWidth="1"/>
    <col min="8999" max="9000" width="11.7109375" style="371" customWidth="1"/>
    <col min="9001" max="9001" width="5.00390625" style="371" customWidth="1"/>
    <col min="9002" max="9004" width="11.7109375" style="371" bestFit="1" customWidth="1"/>
    <col min="9005" max="9248" width="9.140625" style="371" customWidth="1"/>
    <col min="9249" max="9249" width="31.57421875" style="371" customWidth="1"/>
    <col min="9250" max="9252" width="11.7109375" style="371" bestFit="1" customWidth="1"/>
    <col min="9253" max="9253" width="5.00390625" style="371" customWidth="1"/>
    <col min="9254" max="9254" width="13.28125" style="371" customWidth="1"/>
    <col min="9255" max="9256" width="11.7109375" style="371" customWidth="1"/>
    <col min="9257" max="9257" width="5.00390625" style="371" customWidth="1"/>
    <col min="9258" max="9260" width="11.7109375" style="371" bestFit="1" customWidth="1"/>
    <col min="9261" max="9504" width="9.140625" style="371" customWidth="1"/>
    <col min="9505" max="9505" width="31.57421875" style="371" customWidth="1"/>
    <col min="9506" max="9508" width="11.7109375" style="371" bestFit="1" customWidth="1"/>
    <col min="9509" max="9509" width="5.00390625" style="371" customWidth="1"/>
    <col min="9510" max="9510" width="13.28125" style="371" customWidth="1"/>
    <col min="9511" max="9512" width="11.7109375" style="371" customWidth="1"/>
    <col min="9513" max="9513" width="5.00390625" style="371" customWidth="1"/>
    <col min="9514" max="9516" width="11.7109375" style="371" bestFit="1" customWidth="1"/>
    <col min="9517" max="9760" width="9.140625" style="371" customWidth="1"/>
    <col min="9761" max="9761" width="31.57421875" style="371" customWidth="1"/>
    <col min="9762" max="9764" width="11.7109375" style="371" bestFit="1" customWidth="1"/>
    <col min="9765" max="9765" width="5.00390625" style="371" customWidth="1"/>
    <col min="9766" max="9766" width="13.28125" style="371" customWidth="1"/>
    <col min="9767" max="9768" width="11.7109375" style="371" customWidth="1"/>
    <col min="9769" max="9769" width="5.00390625" style="371" customWidth="1"/>
    <col min="9770" max="9772" width="11.7109375" style="371" bestFit="1" customWidth="1"/>
    <col min="9773" max="10016" width="9.140625" style="371" customWidth="1"/>
    <col min="10017" max="10017" width="31.57421875" style="371" customWidth="1"/>
    <col min="10018" max="10020" width="11.7109375" style="371" bestFit="1" customWidth="1"/>
    <col min="10021" max="10021" width="5.00390625" style="371" customWidth="1"/>
    <col min="10022" max="10022" width="13.28125" style="371" customWidth="1"/>
    <col min="10023" max="10024" width="11.7109375" style="371" customWidth="1"/>
    <col min="10025" max="10025" width="5.00390625" style="371" customWidth="1"/>
    <col min="10026" max="10028" width="11.7109375" style="371" bestFit="1" customWidth="1"/>
    <col min="10029" max="10272" width="9.140625" style="371" customWidth="1"/>
    <col min="10273" max="10273" width="31.57421875" style="371" customWidth="1"/>
    <col min="10274" max="10276" width="11.7109375" style="371" bestFit="1" customWidth="1"/>
    <col min="10277" max="10277" width="5.00390625" style="371" customWidth="1"/>
    <col min="10278" max="10278" width="13.28125" style="371" customWidth="1"/>
    <col min="10279" max="10280" width="11.7109375" style="371" customWidth="1"/>
    <col min="10281" max="10281" width="5.00390625" style="371" customWidth="1"/>
    <col min="10282" max="10284" width="11.7109375" style="371" bestFit="1" customWidth="1"/>
    <col min="10285" max="10528" width="9.140625" style="371" customWidth="1"/>
    <col min="10529" max="10529" width="31.57421875" style="371" customWidth="1"/>
    <col min="10530" max="10532" width="11.7109375" style="371" bestFit="1" customWidth="1"/>
    <col min="10533" max="10533" width="5.00390625" style="371" customWidth="1"/>
    <col min="10534" max="10534" width="13.28125" style="371" customWidth="1"/>
    <col min="10535" max="10536" width="11.7109375" style="371" customWidth="1"/>
    <col min="10537" max="10537" width="5.00390625" style="371" customWidth="1"/>
    <col min="10538" max="10540" width="11.7109375" style="371" bestFit="1" customWidth="1"/>
    <col min="10541" max="10784" width="9.140625" style="371" customWidth="1"/>
    <col min="10785" max="10785" width="31.57421875" style="371" customWidth="1"/>
    <col min="10786" max="10788" width="11.7109375" style="371" bestFit="1" customWidth="1"/>
    <col min="10789" max="10789" width="5.00390625" style="371" customWidth="1"/>
    <col min="10790" max="10790" width="13.28125" style="371" customWidth="1"/>
    <col min="10791" max="10792" width="11.7109375" style="371" customWidth="1"/>
    <col min="10793" max="10793" width="5.00390625" style="371" customWidth="1"/>
    <col min="10794" max="10796" width="11.7109375" style="371" bestFit="1" customWidth="1"/>
    <col min="10797" max="11040" width="9.140625" style="371" customWidth="1"/>
    <col min="11041" max="11041" width="31.57421875" style="371" customWidth="1"/>
    <col min="11042" max="11044" width="11.7109375" style="371" bestFit="1" customWidth="1"/>
    <col min="11045" max="11045" width="5.00390625" style="371" customWidth="1"/>
    <col min="11046" max="11046" width="13.28125" style="371" customWidth="1"/>
    <col min="11047" max="11048" width="11.7109375" style="371" customWidth="1"/>
    <col min="11049" max="11049" width="5.00390625" style="371" customWidth="1"/>
    <col min="11050" max="11052" width="11.7109375" style="371" bestFit="1" customWidth="1"/>
    <col min="11053" max="11296" width="9.140625" style="371" customWidth="1"/>
    <col min="11297" max="11297" width="31.57421875" style="371" customWidth="1"/>
    <col min="11298" max="11300" width="11.7109375" style="371" bestFit="1" customWidth="1"/>
    <col min="11301" max="11301" width="5.00390625" style="371" customWidth="1"/>
    <col min="11302" max="11302" width="13.28125" style="371" customWidth="1"/>
    <col min="11303" max="11304" width="11.7109375" style="371" customWidth="1"/>
    <col min="11305" max="11305" width="5.00390625" style="371" customWidth="1"/>
    <col min="11306" max="11308" width="11.7109375" style="371" bestFit="1" customWidth="1"/>
    <col min="11309" max="11552" width="9.140625" style="371" customWidth="1"/>
    <col min="11553" max="11553" width="31.57421875" style="371" customWidth="1"/>
    <col min="11554" max="11556" width="11.7109375" style="371" bestFit="1" customWidth="1"/>
    <col min="11557" max="11557" width="5.00390625" style="371" customWidth="1"/>
    <col min="11558" max="11558" width="13.28125" style="371" customWidth="1"/>
    <col min="11559" max="11560" width="11.7109375" style="371" customWidth="1"/>
    <col min="11561" max="11561" width="5.00390625" style="371" customWidth="1"/>
    <col min="11562" max="11564" width="11.7109375" style="371" bestFit="1" customWidth="1"/>
    <col min="11565" max="11808" width="9.140625" style="371" customWidth="1"/>
    <col min="11809" max="11809" width="31.57421875" style="371" customWidth="1"/>
    <col min="11810" max="11812" width="11.7109375" style="371" bestFit="1" customWidth="1"/>
    <col min="11813" max="11813" width="5.00390625" style="371" customWidth="1"/>
    <col min="11814" max="11814" width="13.28125" style="371" customWidth="1"/>
    <col min="11815" max="11816" width="11.7109375" style="371" customWidth="1"/>
    <col min="11817" max="11817" width="5.00390625" style="371" customWidth="1"/>
    <col min="11818" max="11820" width="11.7109375" style="371" bestFit="1" customWidth="1"/>
    <col min="11821" max="12064" width="9.140625" style="371" customWidth="1"/>
    <col min="12065" max="12065" width="31.57421875" style="371" customWidth="1"/>
    <col min="12066" max="12068" width="11.7109375" style="371" bestFit="1" customWidth="1"/>
    <col min="12069" max="12069" width="5.00390625" style="371" customWidth="1"/>
    <col min="12070" max="12070" width="13.28125" style="371" customWidth="1"/>
    <col min="12071" max="12072" width="11.7109375" style="371" customWidth="1"/>
    <col min="12073" max="12073" width="5.00390625" style="371" customWidth="1"/>
    <col min="12074" max="12076" width="11.7109375" style="371" bestFit="1" customWidth="1"/>
    <col min="12077" max="12320" width="9.140625" style="371" customWidth="1"/>
    <col min="12321" max="12321" width="31.57421875" style="371" customWidth="1"/>
    <col min="12322" max="12324" width="11.7109375" style="371" bestFit="1" customWidth="1"/>
    <col min="12325" max="12325" width="5.00390625" style="371" customWidth="1"/>
    <col min="12326" max="12326" width="13.28125" style="371" customWidth="1"/>
    <col min="12327" max="12328" width="11.7109375" style="371" customWidth="1"/>
    <col min="12329" max="12329" width="5.00390625" style="371" customWidth="1"/>
    <col min="12330" max="12332" width="11.7109375" style="371" bestFit="1" customWidth="1"/>
    <col min="12333" max="12576" width="9.140625" style="371" customWidth="1"/>
    <col min="12577" max="12577" width="31.57421875" style="371" customWidth="1"/>
    <col min="12578" max="12580" width="11.7109375" style="371" bestFit="1" customWidth="1"/>
    <col min="12581" max="12581" width="5.00390625" style="371" customWidth="1"/>
    <col min="12582" max="12582" width="13.28125" style="371" customWidth="1"/>
    <col min="12583" max="12584" width="11.7109375" style="371" customWidth="1"/>
    <col min="12585" max="12585" width="5.00390625" style="371" customWidth="1"/>
    <col min="12586" max="12588" width="11.7109375" style="371" bestFit="1" customWidth="1"/>
    <col min="12589" max="12832" width="9.140625" style="371" customWidth="1"/>
    <col min="12833" max="12833" width="31.57421875" style="371" customWidth="1"/>
    <col min="12834" max="12836" width="11.7109375" style="371" bestFit="1" customWidth="1"/>
    <col min="12837" max="12837" width="5.00390625" style="371" customWidth="1"/>
    <col min="12838" max="12838" width="13.28125" style="371" customWidth="1"/>
    <col min="12839" max="12840" width="11.7109375" style="371" customWidth="1"/>
    <col min="12841" max="12841" width="5.00390625" style="371" customWidth="1"/>
    <col min="12842" max="12844" width="11.7109375" style="371" bestFit="1" customWidth="1"/>
    <col min="12845" max="13088" width="9.140625" style="371" customWidth="1"/>
    <col min="13089" max="13089" width="31.57421875" style="371" customWidth="1"/>
    <col min="13090" max="13092" width="11.7109375" style="371" bestFit="1" customWidth="1"/>
    <col min="13093" max="13093" width="5.00390625" style="371" customWidth="1"/>
    <col min="13094" max="13094" width="13.28125" style="371" customWidth="1"/>
    <col min="13095" max="13096" width="11.7109375" style="371" customWidth="1"/>
    <col min="13097" max="13097" width="5.00390625" style="371" customWidth="1"/>
    <col min="13098" max="13100" width="11.7109375" style="371" bestFit="1" customWidth="1"/>
    <col min="13101" max="13344" width="9.140625" style="371" customWidth="1"/>
    <col min="13345" max="13345" width="31.57421875" style="371" customWidth="1"/>
    <col min="13346" max="13348" width="11.7109375" style="371" bestFit="1" customWidth="1"/>
    <col min="13349" max="13349" width="5.00390625" style="371" customWidth="1"/>
    <col min="13350" max="13350" width="13.28125" style="371" customWidth="1"/>
    <col min="13351" max="13352" width="11.7109375" style="371" customWidth="1"/>
    <col min="13353" max="13353" width="5.00390625" style="371" customWidth="1"/>
    <col min="13354" max="13356" width="11.7109375" style="371" bestFit="1" customWidth="1"/>
    <col min="13357" max="13600" width="9.140625" style="371" customWidth="1"/>
    <col min="13601" max="13601" width="31.57421875" style="371" customWidth="1"/>
    <col min="13602" max="13604" width="11.7109375" style="371" bestFit="1" customWidth="1"/>
    <col min="13605" max="13605" width="5.00390625" style="371" customWidth="1"/>
    <col min="13606" max="13606" width="13.28125" style="371" customWidth="1"/>
    <col min="13607" max="13608" width="11.7109375" style="371" customWidth="1"/>
    <col min="13609" max="13609" width="5.00390625" style="371" customWidth="1"/>
    <col min="13610" max="13612" width="11.7109375" style="371" bestFit="1" customWidth="1"/>
    <col min="13613" max="13856" width="9.140625" style="371" customWidth="1"/>
    <col min="13857" max="13857" width="31.57421875" style="371" customWidth="1"/>
    <col min="13858" max="13860" width="11.7109375" style="371" bestFit="1" customWidth="1"/>
    <col min="13861" max="13861" width="5.00390625" style="371" customWidth="1"/>
    <col min="13862" max="13862" width="13.28125" style="371" customWidth="1"/>
    <col min="13863" max="13864" width="11.7109375" style="371" customWidth="1"/>
    <col min="13865" max="13865" width="5.00390625" style="371" customWidth="1"/>
    <col min="13866" max="13868" width="11.7109375" style="371" bestFit="1" customWidth="1"/>
    <col min="13869" max="14112" width="9.140625" style="371" customWidth="1"/>
    <col min="14113" max="14113" width="31.57421875" style="371" customWidth="1"/>
    <col min="14114" max="14116" width="11.7109375" style="371" bestFit="1" customWidth="1"/>
    <col min="14117" max="14117" width="5.00390625" style="371" customWidth="1"/>
    <col min="14118" max="14118" width="13.28125" style="371" customWidth="1"/>
    <col min="14119" max="14120" width="11.7109375" style="371" customWidth="1"/>
    <col min="14121" max="14121" width="5.00390625" style="371" customWidth="1"/>
    <col min="14122" max="14124" width="11.7109375" style="371" bestFit="1" customWidth="1"/>
    <col min="14125" max="14368" width="9.140625" style="371" customWidth="1"/>
    <col min="14369" max="14369" width="31.57421875" style="371" customWidth="1"/>
    <col min="14370" max="14372" width="11.7109375" style="371" bestFit="1" customWidth="1"/>
    <col min="14373" max="14373" width="5.00390625" style="371" customWidth="1"/>
    <col min="14374" max="14374" width="13.28125" style="371" customWidth="1"/>
    <col min="14375" max="14376" width="11.7109375" style="371" customWidth="1"/>
    <col min="14377" max="14377" width="5.00390625" style="371" customWidth="1"/>
    <col min="14378" max="14380" width="11.7109375" style="371" bestFit="1" customWidth="1"/>
    <col min="14381" max="14624" width="9.140625" style="371" customWidth="1"/>
    <col min="14625" max="14625" width="31.57421875" style="371" customWidth="1"/>
    <col min="14626" max="14628" width="11.7109375" style="371" bestFit="1" customWidth="1"/>
    <col min="14629" max="14629" width="5.00390625" style="371" customWidth="1"/>
    <col min="14630" max="14630" width="13.28125" style="371" customWidth="1"/>
    <col min="14631" max="14632" width="11.7109375" style="371" customWidth="1"/>
    <col min="14633" max="14633" width="5.00390625" style="371" customWidth="1"/>
    <col min="14634" max="14636" width="11.7109375" style="371" bestFit="1" customWidth="1"/>
    <col min="14637" max="14880" width="9.140625" style="371" customWidth="1"/>
    <col min="14881" max="14881" width="31.57421875" style="371" customWidth="1"/>
    <col min="14882" max="14884" width="11.7109375" style="371" bestFit="1" customWidth="1"/>
    <col min="14885" max="14885" width="5.00390625" style="371" customWidth="1"/>
    <col min="14886" max="14886" width="13.28125" style="371" customWidth="1"/>
    <col min="14887" max="14888" width="11.7109375" style="371" customWidth="1"/>
    <col min="14889" max="14889" width="5.00390625" style="371" customWidth="1"/>
    <col min="14890" max="14892" width="11.7109375" style="371" bestFit="1" customWidth="1"/>
    <col min="14893" max="15136" width="9.140625" style="371" customWidth="1"/>
    <col min="15137" max="15137" width="31.57421875" style="371" customWidth="1"/>
    <col min="15138" max="15140" width="11.7109375" style="371" bestFit="1" customWidth="1"/>
    <col min="15141" max="15141" width="5.00390625" style="371" customWidth="1"/>
    <col min="15142" max="15142" width="13.28125" style="371" customWidth="1"/>
    <col min="15143" max="15144" width="11.7109375" style="371" customWidth="1"/>
    <col min="15145" max="15145" width="5.00390625" style="371" customWidth="1"/>
    <col min="15146" max="15148" width="11.7109375" style="371" bestFit="1" customWidth="1"/>
    <col min="15149" max="15392" width="9.140625" style="371" customWidth="1"/>
    <col min="15393" max="15393" width="31.57421875" style="371" customWidth="1"/>
    <col min="15394" max="15396" width="11.7109375" style="371" bestFit="1" customWidth="1"/>
    <col min="15397" max="15397" width="5.00390625" style="371" customWidth="1"/>
    <col min="15398" max="15398" width="13.28125" style="371" customWidth="1"/>
    <col min="15399" max="15400" width="11.7109375" style="371" customWidth="1"/>
    <col min="15401" max="15401" width="5.00390625" style="371" customWidth="1"/>
    <col min="15402" max="15404" width="11.7109375" style="371" bestFit="1" customWidth="1"/>
    <col min="15405" max="15648" width="9.140625" style="371" customWidth="1"/>
    <col min="15649" max="15649" width="31.57421875" style="371" customWidth="1"/>
    <col min="15650" max="15652" width="11.7109375" style="371" bestFit="1" customWidth="1"/>
    <col min="15653" max="15653" width="5.00390625" style="371" customWidth="1"/>
    <col min="15654" max="15654" width="13.28125" style="371" customWidth="1"/>
    <col min="15655" max="15656" width="11.7109375" style="371" customWidth="1"/>
    <col min="15657" max="15657" width="5.00390625" style="371" customWidth="1"/>
    <col min="15658" max="15660" width="11.7109375" style="371" bestFit="1" customWidth="1"/>
    <col min="15661" max="15904" width="9.140625" style="371" customWidth="1"/>
    <col min="15905" max="15905" width="31.57421875" style="371" customWidth="1"/>
    <col min="15906" max="15908" width="11.7109375" style="371" bestFit="1" customWidth="1"/>
    <col min="15909" max="15909" width="5.00390625" style="371" customWidth="1"/>
    <col min="15910" max="15910" width="13.28125" style="371" customWidth="1"/>
    <col min="15911" max="15912" width="11.7109375" style="371" customWidth="1"/>
    <col min="15913" max="15913" width="5.00390625" style="371" customWidth="1"/>
    <col min="15914" max="15916" width="11.7109375" style="371" bestFit="1" customWidth="1"/>
    <col min="15917" max="16160" width="9.140625" style="371" customWidth="1"/>
    <col min="16161" max="16161" width="31.57421875" style="371" customWidth="1"/>
    <col min="16162" max="16164" width="11.7109375" style="371" bestFit="1" customWidth="1"/>
    <col min="16165" max="16165" width="5.00390625" style="371" customWidth="1"/>
    <col min="16166" max="16166" width="13.28125" style="371" customWidth="1"/>
    <col min="16167" max="16168" width="11.7109375" style="371" customWidth="1"/>
    <col min="16169" max="16169" width="5.00390625" style="371" customWidth="1"/>
    <col min="16170" max="16172" width="11.7109375" style="371" bestFit="1" customWidth="1"/>
    <col min="16173" max="16384" width="9.140625" style="371" customWidth="1"/>
  </cols>
  <sheetData>
    <row r="1" spans="1:53" ht="12.75">
      <c r="A1" s="406"/>
      <c r="B1" s="498">
        <v>41030</v>
      </c>
      <c r="C1" s="499"/>
      <c r="D1" s="500"/>
      <c r="E1" s="405"/>
      <c r="F1" s="406"/>
      <c r="G1" s="498">
        <v>41122</v>
      </c>
      <c r="H1" s="499"/>
      <c r="I1" s="500"/>
      <c r="J1" s="407"/>
      <c r="K1" s="408"/>
      <c r="L1" s="501">
        <v>41214</v>
      </c>
      <c r="M1" s="499"/>
      <c r="N1" s="500"/>
      <c r="O1" s="407"/>
      <c r="P1" s="408"/>
      <c r="Q1" s="501">
        <v>41306</v>
      </c>
      <c r="R1" s="499"/>
      <c r="S1" s="500"/>
      <c r="T1" s="405"/>
      <c r="U1" s="406"/>
      <c r="V1" s="498" t="s">
        <v>82</v>
      </c>
      <c r="W1" s="499"/>
      <c r="X1" s="500"/>
      <c r="Y1" s="390"/>
      <c r="AC1" s="391"/>
      <c r="AG1" s="391"/>
      <c r="AK1" s="391"/>
      <c r="AO1" s="390"/>
      <c r="BA1" s="390"/>
    </row>
    <row r="2" spans="1:53" ht="12.75">
      <c r="A2" s="406"/>
      <c r="B2" s="423" t="s">
        <v>42</v>
      </c>
      <c r="C2" s="424" t="s">
        <v>43</v>
      </c>
      <c r="D2" s="425" t="s">
        <v>33</v>
      </c>
      <c r="E2" s="405"/>
      <c r="F2" s="406"/>
      <c r="G2" s="423" t="s">
        <v>42</v>
      </c>
      <c r="H2" s="424" t="s">
        <v>43</v>
      </c>
      <c r="I2" s="425" t="s">
        <v>33</v>
      </c>
      <c r="J2" s="405"/>
      <c r="K2" s="406"/>
      <c r="L2" s="426" t="s">
        <v>42</v>
      </c>
      <c r="M2" s="405" t="s">
        <v>43</v>
      </c>
      <c r="N2" s="427" t="s">
        <v>33</v>
      </c>
      <c r="O2" s="405"/>
      <c r="P2" s="406"/>
      <c r="Q2" s="426" t="s">
        <v>42</v>
      </c>
      <c r="R2" s="405" t="s">
        <v>43</v>
      </c>
      <c r="S2" s="427" t="s">
        <v>33</v>
      </c>
      <c r="T2" s="405"/>
      <c r="U2" s="406"/>
      <c r="V2" s="426" t="s">
        <v>42</v>
      </c>
      <c r="W2" s="405" t="s">
        <v>43</v>
      </c>
      <c r="X2" s="427" t="s">
        <v>33</v>
      </c>
      <c r="Y2" s="390"/>
      <c r="AC2" s="392"/>
      <c r="AG2" s="391"/>
      <c r="AK2" s="391"/>
      <c r="AO2" s="390"/>
      <c r="BA2" s="390"/>
    </row>
    <row r="3" spans="1:53" ht="12.75">
      <c r="A3" s="409" t="s">
        <v>60</v>
      </c>
      <c r="B3" s="428"/>
      <c r="C3" s="410"/>
      <c r="D3" s="429"/>
      <c r="E3" s="410"/>
      <c r="F3" s="409" t="s">
        <v>60</v>
      </c>
      <c r="G3" s="428"/>
      <c r="H3" s="410"/>
      <c r="I3" s="429"/>
      <c r="J3" s="410"/>
      <c r="K3" s="409" t="s">
        <v>60</v>
      </c>
      <c r="L3" s="428"/>
      <c r="M3" s="410"/>
      <c r="N3" s="429"/>
      <c r="O3" s="410"/>
      <c r="P3" s="409" t="s">
        <v>60</v>
      </c>
      <c r="Q3" s="428"/>
      <c r="R3" s="410"/>
      <c r="S3" s="429"/>
      <c r="T3" s="410"/>
      <c r="U3" s="409" t="s">
        <v>60</v>
      </c>
      <c r="V3" s="428"/>
      <c r="W3" s="410"/>
      <c r="X3" s="429"/>
      <c r="Y3" s="390"/>
      <c r="AC3" s="390"/>
      <c r="AG3" s="393"/>
      <c r="AK3" s="393"/>
      <c r="AO3" s="390"/>
      <c r="BA3" s="390"/>
    </row>
    <row r="4" spans="1:53" ht="12.75">
      <c r="A4" s="412" t="s">
        <v>61</v>
      </c>
      <c r="B4" s="413">
        <f>+'5-2012-BY'!B10</f>
        <v>268316160</v>
      </c>
      <c r="C4" s="411">
        <f>+'5-2012-BY'!B9</f>
        <v>351435840</v>
      </c>
      <c r="D4" s="414">
        <f>SUM(B4:C4)</f>
        <v>619752000</v>
      </c>
      <c r="E4" s="411"/>
      <c r="F4" s="412" t="s">
        <v>61</v>
      </c>
      <c r="G4" s="413">
        <f>+'8-2012-BY'!B10</f>
        <v>268316160</v>
      </c>
      <c r="H4" s="411">
        <f>+'8-2012-BY'!B9</f>
        <v>351435840</v>
      </c>
      <c r="I4" s="414">
        <f>SUM(G4:H4)</f>
        <v>619752000</v>
      </c>
      <c r="J4" s="411"/>
      <c r="K4" s="412" t="s">
        <v>61</v>
      </c>
      <c r="L4" s="413">
        <f>+'[1]Stmts RUS'!Q9*1000000000</f>
        <v>340099200</v>
      </c>
      <c r="M4" s="411">
        <f>+'[1]Stmts RUS'!Q10*1000000000</f>
        <v>259660799.99999997</v>
      </c>
      <c r="N4" s="414">
        <f>SUM(L4:M4)</f>
        <v>599760000</v>
      </c>
      <c r="O4" s="411"/>
      <c r="P4" s="412" t="s">
        <v>61</v>
      </c>
      <c r="Q4" s="413">
        <f>+'[2]Stmts RUS'!$H$10*1000000000</f>
        <v>248935680</v>
      </c>
      <c r="R4" s="411">
        <f>+'[2]Stmts RUS'!$H$9*1000000000</f>
        <v>317425920</v>
      </c>
      <c r="S4" s="414">
        <f>SUM(Q4:R4)</f>
        <v>566361600</v>
      </c>
      <c r="T4" s="411"/>
      <c r="U4" s="412" t="s">
        <v>61</v>
      </c>
      <c r="V4" s="413">
        <f>+B4+B43+B72+G4+G43+G72+L4+L43+L72+Q4+Q43+Q72</f>
        <v>3350988480</v>
      </c>
      <c r="W4" s="411">
        <f>+C4+C43+C72+H4+H43+H72+M4+M43+M72+R4+R43+R72</f>
        <v>3974315520</v>
      </c>
      <c r="X4" s="414">
        <f>SUM(V4:W4)</f>
        <v>7325304000</v>
      </c>
      <c r="Y4" s="390"/>
      <c r="AC4" s="394"/>
      <c r="AG4" s="381"/>
      <c r="AK4" s="381"/>
      <c r="AO4" s="390"/>
      <c r="BA4" s="390"/>
    </row>
    <row r="5" spans="1:53" ht="12.75">
      <c r="A5" s="412" t="s">
        <v>62</v>
      </c>
      <c r="B5" s="430">
        <f>+'5-2012-BY'!B17/1000</f>
        <v>3790.814</v>
      </c>
      <c r="C5" s="431">
        <f>+'5-2012-BY'!B16/1000</f>
        <v>6583.667</v>
      </c>
      <c r="D5" s="432">
        <f>SUM(B5:C5)</f>
        <v>10374.481</v>
      </c>
      <c r="E5" s="411"/>
      <c r="F5" s="412" t="s">
        <v>62</v>
      </c>
      <c r="G5" s="430">
        <f>+'8-2012-BY'!B17/1000</f>
        <v>-4687.76</v>
      </c>
      <c r="H5" s="431">
        <f>+'8-2012-BY'!B16/1000</f>
        <v>6137.853</v>
      </c>
      <c r="I5" s="432">
        <f>SUM(G5:H5)</f>
        <v>1450.0929999999998</v>
      </c>
      <c r="J5" s="411"/>
      <c r="K5" s="412" t="s">
        <v>62</v>
      </c>
      <c r="L5" s="430">
        <v>0</v>
      </c>
      <c r="M5" s="431">
        <v>0</v>
      </c>
      <c r="N5" s="432">
        <f>SUM(L5:M5)</f>
        <v>0</v>
      </c>
      <c r="O5" s="411"/>
      <c r="P5" s="412" t="s">
        <v>62</v>
      </c>
      <c r="Q5" s="430">
        <v>0</v>
      </c>
      <c r="R5" s="431">
        <v>0</v>
      </c>
      <c r="S5" s="432">
        <f>SUM(Q5:R5)</f>
        <v>0</v>
      </c>
      <c r="T5" s="411"/>
      <c r="U5" s="412" t="s">
        <v>62</v>
      </c>
      <c r="V5" s="430">
        <f>+B5+B44+B73+G5+G44+G73+L5+L44+L73+Q5+Q44+Q73</f>
        <v>-1125.7550000000006</v>
      </c>
      <c r="W5" s="431">
        <f>+C5+C44+C73+H5+H44+H73+M5+M44+M73+R5+R44+R73</f>
        <v>35716.858</v>
      </c>
      <c r="X5" s="432">
        <f>SUM(V5:W5)</f>
        <v>34591.103</v>
      </c>
      <c r="Y5" s="390"/>
      <c r="AC5" s="381"/>
      <c r="AG5" s="381"/>
      <c r="AK5" s="381"/>
      <c r="AO5" s="390"/>
      <c r="BA5" s="390"/>
    </row>
    <row r="6" spans="1:53" ht="12.75">
      <c r="A6" s="412" t="s">
        <v>63</v>
      </c>
      <c r="B6" s="413">
        <f>SUM(B4:B5)</f>
        <v>268319950.814</v>
      </c>
      <c r="C6" s="411">
        <f>SUM(C4:C5)</f>
        <v>351442423.667</v>
      </c>
      <c r="D6" s="414">
        <f>SUM(D4:D5)</f>
        <v>619762374.481</v>
      </c>
      <c r="E6" s="411"/>
      <c r="F6" s="412" t="s">
        <v>63</v>
      </c>
      <c r="G6" s="413">
        <f>SUM(G4:G5)</f>
        <v>268311472.24</v>
      </c>
      <c r="H6" s="411">
        <f>SUM(H4:H5)</f>
        <v>351441977.853</v>
      </c>
      <c r="I6" s="414">
        <f>SUM(I4:I5)</f>
        <v>619753450.093</v>
      </c>
      <c r="J6" s="411"/>
      <c r="K6" s="412" t="s">
        <v>63</v>
      </c>
      <c r="L6" s="413">
        <f>SUM(L4:L5)</f>
        <v>340099200</v>
      </c>
      <c r="M6" s="411">
        <f>SUM(M4:M5)</f>
        <v>259660799.99999997</v>
      </c>
      <c r="N6" s="414">
        <f>SUM(N4:N5)</f>
        <v>599760000</v>
      </c>
      <c r="O6" s="411"/>
      <c r="P6" s="412" t="s">
        <v>63</v>
      </c>
      <c r="Q6" s="413">
        <f>SUM(Q4:Q5)</f>
        <v>248935680</v>
      </c>
      <c r="R6" s="411">
        <f>SUM(R4:R5)</f>
        <v>317425920</v>
      </c>
      <c r="S6" s="414">
        <f>SUM(S4:S5)</f>
        <v>566361600</v>
      </c>
      <c r="T6" s="411"/>
      <c r="U6" s="412" t="s">
        <v>63</v>
      </c>
      <c r="V6" s="413">
        <f>SUM(V4:V5)</f>
        <v>3350987354.245</v>
      </c>
      <c r="W6" s="411">
        <f>SUM(W4:W5)</f>
        <v>3974351236.858</v>
      </c>
      <c r="X6" s="414">
        <f>SUM(X4:X5)</f>
        <v>7325338591.103</v>
      </c>
      <c r="Y6" s="390"/>
      <c r="AC6" s="394"/>
      <c r="AG6" s="381"/>
      <c r="AK6" s="381"/>
      <c r="AO6" s="390"/>
      <c r="BA6" s="390"/>
    </row>
    <row r="7" spans="1:53" ht="12.75">
      <c r="A7" s="412" t="s">
        <v>65</v>
      </c>
      <c r="B7" s="413">
        <f>+'5-2012-BY'!D5/1000</f>
        <v>1365.658</v>
      </c>
      <c r="C7" s="411">
        <f>+'5-2012-BY'!D4/1000</f>
        <v>2104.92</v>
      </c>
      <c r="D7" s="414">
        <f>SUM(B7:C7)</f>
        <v>3470.578</v>
      </c>
      <c r="E7" s="411"/>
      <c r="F7" s="412" t="s">
        <v>65</v>
      </c>
      <c r="G7" s="413">
        <f>+'8-2012-BY'!D5/1000</f>
        <v>30.132</v>
      </c>
      <c r="H7" s="411">
        <f>+'8-2012-BY'!D4/1000</f>
        <v>1525.097</v>
      </c>
      <c r="I7" s="414">
        <f>SUM(G7:H7)</f>
        <v>1555.229</v>
      </c>
      <c r="J7" s="411"/>
      <c r="K7" s="412" t="s">
        <v>65</v>
      </c>
      <c r="L7" s="413">
        <v>0</v>
      </c>
      <c r="M7" s="411">
        <v>0</v>
      </c>
      <c r="N7" s="414">
        <f>SUM(L7:M7)</f>
        <v>0</v>
      </c>
      <c r="O7" s="411"/>
      <c r="P7" s="412" t="s">
        <v>65</v>
      </c>
      <c r="Q7" s="413">
        <v>0</v>
      </c>
      <c r="R7" s="411">
        <v>0</v>
      </c>
      <c r="S7" s="414">
        <f>SUM(Q7:R7)</f>
        <v>0</v>
      </c>
      <c r="T7" s="411"/>
      <c r="U7" s="412" t="s">
        <v>65</v>
      </c>
      <c r="V7" s="413">
        <f aca="true" t="shared" si="0" ref="V7:W9">+B7+B46+B75+G7+G46+G75+L7+L46+L75+Q7+Q46+Q75</f>
        <v>2446.3950000000004</v>
      </c>
      <c r="W7" s="411">
        <f t="shared" si="0"/>
        <v>10127.383</v>
      </c>
      <c r="X7" s="414">
        <f>SUM(V7:W7)</f>
        <v>12573.778</v>
      </c>
      <c r="Y7" s="390"/>
      <c r="AC7" s="394"/>
      <c r="AG7" s="381"/>
      <c r="AK7" s="381"/>
      <c r="AO7" s="390"/>
      <c r="BA7" s="390"/>
    </row>
    <row r="8" spans="1:53" ht="12.75">
      <c r="A8" s="412" t="s">
        <v>66</v>
      </c>
      <c r="B8" s="413">
        <f>+'5-2012-BY'!E5/1000</f>
        <v>0</v>
      </c>
      <c r="C8" s="411">
        <f>+'5-2012-BY'!E4/1000</f>
        <v>0</v>
      </c>
      <c r="D8" s="414">
        <f>SUM(B8:C8)</f>
        <v>0</v>
      </c>
      <c r="E8" s="411"/>
      <c r="F8" s="412" t="s">
        <v>66</v>
      </c>
      <c r="G8" s="413">
        <f>+'8-2012-BY'!E5/1000</f>
        <v>-883.386</v>
      </c>
      <c r="H8" s="411">
        <f>+'8-2012-BY'!E4/1000</f>
        <v>0</v>
      </c>
      <c r="I8" s="414">
        <f>SUM(G8:H8)</f>
        <v>-883.386</v>
      </c>
      <c r="J8" s="411"/>
      <c r="K8" s="412" t="s">
        <v>66</v>
      </c>
      <c r="L8" s="413">
        <v>0</v>
      </c>
      <c r="M8" s="411">
        <v>0</v>
      </c>
      <c r="N8" s="414">
        <f>SUM(L8:M8)</f>
        <v>0</v>
      </c>
      <c r="O8" s="411"/>
      <c r="P8" s="412" t="s">
        <v>66</v>
      </c>
      <c r="Q8" s="413">
        <v>0</v>
      </c>
      <c r="R8" s="411">
        <v>0</v>
      </c>
      <c r="S8" s="414">
        <f>SUM(Q8:R8)</f>
        <v>0</v>
      </c>
      <c r="T8" s="411"/>
      <c r="U8" s="412" t="s">
        <v>66</v>
      </c>
      <c r="V8" s="413">
        <f t="shared" si="0"/>
        <v>-2493.184</v>
      </c>
      <c r="W8" s="411">
        <f t="shared" si="0"/>
        <v>0</v>
      </c>
      <c r="X8" s="414">
        <f>SUM(V8:W8)</f>
        <v>-2493.184</v>
      </c>
      <c r="Y8" s="390"/>
      <c r="AC8" s="394"/>
      <c r="AG8" s="381"/>
      <c r="AK8" s="381"/>
      <c r="AO8" s="390"/>
      <c r="BA8" s="390"/>
    </row>
    <row r="9" spans="1:53" ht="12.75">
      <c r="A9" s="412" t="s">
        <v>64</v>
      </c>
      <c r="B9" s="413">
        <f>+'5-2012-BY'!C5/1000</f>
        <v>0</v>
      </c>
      <c r="C9" s="411">
        <f>+'5-2012-BY'!C4/1000</f>
        <v>185</v>
      </c>
      <c r="D9" s="414">
        <f>SUM(B9:C9)</f>
        <v>185</v>
      </c>
      <c r="E9" s="411"/>
      <c r="F9" s="412" t="s">
        <v>64</v>
      </c>
      <c r="G9" s="413">
        <v>0</v>
      </c>
      <c r="H9" s="411">
        <v>0</v>
      </c>
      <c r="I9" s="414">
        <f>SUM(G9:H9)</f>
        <v>0</v>
      </c>
      <c r="J9" s="411"/>
      <c r="K9" s="412" t="s">
        <v>64</v>
      </c>
      <c r="L9" s="413">
        <v>0</v>
      </c>
      <c r="M9" s="411">
        <v>0</v>
      </c>
      <c r="N9" s="414">
        <f>SUM(L9:M9)</f>
        <v>0</v>
      </c>
      <c r="O9" s="411"/>
      <c r="P9" s="412" t="s">
        <v>64</v>
      </c>
      <c r="Q9" s="413">
        <v>0</v>
      </c>
      <c r="R9" s="411">
        <v>0</v>
      </c>
      <c r="S9" s="414">
        <f>SUM(Q9:R9)</f>
        <v>0</v>
      </c>
      <c r="T9" s="411"/>
      <c r="U9" s="412" t="s">
        <v>64</v>
      </c>
      <c r="V9" s="413">
        <f t="shared" si="0"/>
        <v>0</v>
      </c>
      <c r="W9" s="411">
        <f t="shared" si="0"/>
        <v>217</v>
      </c>
      <c r="X9" s="414">
        <f>+V9+W9</f>
        <v>217</v>
      </c>
      <c r="Y9" s="390"/>
      <c r="AC9" s="394"/>
      <c r="AG9" s="381"/>
      <c r="AK9" s="381"/>
      <c r="AO9" s="390"/>
      <c r="BA9" s="390"/>
    </row>
    <row r="10" spans="1:53" ht="3.75" customHeight="1">
      <c r="A10" s="406"/>
      <c r="B10" s="430"/>
      <c r="C10" s="431"/>
      <c r="D10" s="432"/>
      <c r="E10" s="411"/>
      <c r="F10" s="406"/>
      <c r="G10" s="430"/>
      <c r="H10" s="431"/>
      <c r="I10" s="432"/>
      <c r="J10" s="411"/>
      <c r="K10" s="406"/>
      <c r="L10" s="430"/>
      <c r="M10" s="431"/>
      <c r="N10" s="432"/>
      <c r="O10" s="411"/>
      <c r="P10" s="406"/>
      <c r="Q10" s="430"/>
      <c r="R10" s="431"/>
      <c r="S10" s="432"/>
      <c r="T10" s="411"/>
      <c r="U10" s="406"/>
      <c r="V10" s="430"/>
      <c r="W10" s="431"/>
      <c r="X10" s="432"/>
      <c r="Y10" s="390"/>
      <c r="AC10" s="381"/>
      <c r="AG10" s="381"/>
      <c r="AK10" s="381"/>
      <c r="AO10" s="390"/>
      <c r="BA10" s="390"/>
    </row>
    <row r="11" spans="1:53" ht="12.75">
      <c r="A11" s="412" t="s">
        <v>76</v>
      </c>
      <c r="B11" s="413">
        <f>SUM(B6:B10)</f>
        <v>268321316.472</v>
      </c>
      <c r="C11" s="411">
        <f>SUM(C6:C10)</f>
        <v>351444713.587</v>
      </c>
      <c r="D11" s="414">
        <f>SUM(D6:D10)</f>
        <v>619766030.0589999</v>
      </c>
      <c r="E11" s="411"/>
      <c r="F11" s="412" t="s">
        <v>76</v>
      </c>
      <c r="G11" s="413">
        <f>SUM(G6:G10)</f>
        <v>268310618.986</v>
      </c>
      <c r="H11" s="411">
        <f>SUM(H6:H10)</f>
        <v>351443502.95</v>
      </c>
      <c r="I11" s="414">
        <f>SUM(I6:I10)</f>
        <v>619754121.936</v>
      </c>
      <c r="J11" s="411"/>
      <c r="K11" s="412" t="s">
        <v>76</v>
      </c>
      <c r="L11" s="413">
        <f>SUM(L6:L10)</f>
        <v>340099200</v>
      </c>
      <c r="M11" s="411">
        <f>SUM(M6:M10)</f>
        <v>259660799.99999997</v>
      </c>
      <c r="N11" s="414">
        <f>SUM(N6:N10)</f>
        <v>599760000</v>
      </c>
      <c r="O11" s="411"/>
      <c r="P11" s="412" t="s">
        <v>76</v>
      </c>
      <c r="Q11" s="413">
        <f>SUM(Q6:Q10)</f>
        <v>248935680</v>
      </c>
      <c r="R11" s="411">
        <f>SUM(R6:R10)</f>
        <v>317425920</v>
      </c>
      <c r="S11" s="414">
        <f>SUM(S6:S10)</f>
        <v>566361600</v>
      </c>
      <c r="T11" s="411"/>
      <c r="U11" s="412" t="s">
        <v>76</v>
      </c>
      <c r="V11" s="413">
        <f>SUM(V6:V10)</f>
        <v>3350987307.456</v>
      </c>
      <c r="W11" s="411">
        <f>SUM(W6:W10)</f>
        <v>3974361581.2409997</v>
      </c>
      <c r="X11" s="414">
        <f>SUM(X6:X10)</f>
        <v>7325348888.697</v>
      </c>
      <c r="Y11" s="390"/>
      <c r="AC11" s="394"/>
      <c r="AG11" s="381"/>
      <c r="AK11" s="381"/>
      <c r="AO11" s="390"/>
      <c r="BA11" s="390"/>
    </row>
    <row r="12" spans="1:53" ht="8.25" customHeight="1">
      <c r="A12" s="406"/>
      <c r="B12" s="428"/>
      <c r="C12" s="410"/>
      <c r="D12" s="429"/>
      <c r="E12" s="410"/>
      <c r="F12" s="406"/>
      <c r="G12" s="428"/>
      <c r="H12" s="410"/>
      <c r="I12" s="429"/>
      <c r="J12" s="410"/>
      <c r="K12" s="406"/>
      <c r="L12" s="428"/>
      <c r="M12" s="410"/>
      <c r="N12" s="429"/>
      <c r="O12" s="410"/>
      <c r="P12" s="406"/>
      <c r="Q12" s="428"/>
      <c r="R12" s="410"/>
      <c r="S12" s="429"/>
      <c r="T12" s="410"/>
      <c r="U12" s="406"/>
      <c r="V12" s="428"/>
      <c r="W12" s="410"/>
      <c r="X12" s="429"/>
      <c r="Y12" s="390"/>
      <c r="AC12" s="390"/>
      <c r="AG12" s="393"/>
      <c r="AK12" s="393"/>
      <c r="AO12" s="390"/>
      <c r="BA12" s="390"/>
    </row>
    <row r="13" spans="1:53" ht="12.75">
      <c r="A13" s="409" t="s">
        <v>84</v>
      </c>
      <c r="B13" s="428"/>
      <c r="C13" s="410"/>
      <c r="D13" s="429"/>
      <c r="E13" s="410"/>
      <c r="F13" s="409" t="s">
        <v>84</v>
      </c>
      <c r="G13" s="428"/>
      <c r="H13" s="410"/>
      <c r="I13" s="429"/>
      <c r="J13" s="410"/>
      <c r="K13" s="409" t="s">
        <v>84</v>
      </c>
      <c r="L13" s="428"/>
      <c r="M13" s="410"/>
      <c r="N13" s="429"/>
      <c r="O13" s="410"/>
      <c r="P13" s="409" t="s">
        <v>84</v>
      </c>
      <c r="Q13" s="428"/>
      <c r="R13" s="410"/>
      <c r="S13" s="429"/>
      <c r="T13" s="410"/>
      <c r="U13" s="409" t="s">
        <v>84</v>
      </c>
      <c r="V13" s="428"/>
      <c r="W13" s="410"/>
      <c r="X13" s="429"/>
      <c r="Y13" s="372"/>
      <c r="AC13" s="390"/>
      <c r="AG13" s="393"/>
      <c r="AK13" s="393"/>
      <c r="AO13" s="390"/>
      <c r="BA13" s="390"/>
    </row>
    <row r="14" spans="1:53" ht="12.75">
      <c r="A14" s="412" t="s">
        <v>31</v>
      </c>
      <c r="B14" s="433">
        <f aca="true" t="shared" si="1" ref="B14:D15">B27/B4</f>
        <v>0.03939199998240881</v>
      </c>
      <c r="C14" s="415">
        <f t="shared" si="1"/>
        <v>0.03939200000204874</v>
      </c>
      <c r="D14" s="434">
        <f t="shared" si="1"/>
        <v>0.039391999993545805</v>
      </c>
      <c r="E14" s="415"/>
      <c r="F14" s="412" t="s">
        <v>31</v>
      </c>
      <c r="G14" s="433">
        <f>G27/G4</f>
        <v>0.03939199998240881</v>
      </c>
      <c r="H14" s="415">
        <f>H27/H4</f>
        <v>0.03939200000204874</v>
      </c>
      <c r="I14" s="434">
        <f>I27/I4</f>
        <v>0.039391999993545805</v>
      </c>
      <c r="J14" s="415"/>
      <c r="K14" s="412" t="s">
        <v>31</v>
      </c>
      <c r="L14" s="433">
        <f>+'[1]Stmts RUS'!Q71/1000</f>
        <v>0.039392002341920376</v>
      </c>
      <c r="M14" s="415">
        <f>+L14</f>
        <v>0.039392002341920376</v>
      </c>
      <c r="N14" s="434">
        <f>N27/N4</f>
        <v>0.039392002341920376</v>
      </c>
      <c r="O14" s="415"/>
      <c r="P14" s="412" t="s">
        <v>31</v>
      </c>
      <c r="Q14" s="433">
        <f>+'[2]Stmts RUS'!$H$71/1000</f>
        <v>0.039432103718199614</v>
      </c>
      <c r="R14" s="415">
        <f>+Q14</f>
        <v>0.039432103718199614</v>
      </c>
      <c r="S14" s="434">
        <f>S27/S4</f>
        <v>0.039432103718199614</v>
      </c>
      <c r="T14" s="415"/>
      <c r="U14" s="412" t="s">
        <v>31</v>
      </c>
      <c r="V14" s="433">
        <f>+V27/V4</f>
        <v>0.03940476845182864</v>
      </c>
      <c r="W14" s="415">
        <f>+W27/W4</f>
        <v>0.03940572770133431</v>
      </c>
      <c r="X14" s="434">
        <f>+X27/X4</f>
        <v>0.0394052888889597</v>
      </c>
      <c r="Y14" s="401"/>
      <c r="AC14" s="402"/>
      <c r="AG14" s="403"/>
      <c r="AK14" s="403"/>
      <c r="AO14" s="402"/>
      <c r="AS14" s="404"/>
      <c r="AW14" s="404"/>
      <c r="BA14" s="402"/>
    </row>
    <row r="15" spans="1:53" ht="12.75">
      <c r="A15" s="412" t="s">
        <v>62</v>
      </c>
      <c r="B15" s="435">
        <f t="shared" si="1"/>
        <v>21.80600261579703</v>
      </c>
      <c r="C15" s="416">
        <f t="shared" si="1"/>
        <v>21.80600112368988</v>
      </c>
      <c r="D15" s="436">
        <f t="shared" si="1"/>
        <v>21.806001668902763</v>
      </c>
      <c r="E15" s="416"/>
      <c r="F15" s="412" t="s">
        <v>62</v>
      </c>
      <c r="G15" s="435">
        <f>Q28/G5</f>
        <v>21.805999027253954</v>
      </c>
      <c r="H15" s="416">
        <f>R28/H5</f>
        <v>21.805999589758827</v>
      </c>
      <c r="I15" s="436">
        <f>S28/I5</f>
        <v>21.806001408185544</v>
      </c>
      <c r="J15" s="416"/>
      <c r="K15" s="412" t="s">
        <v>62</v>
      </c>
      <c r="L15" s="435">
        <f>IF(L5=0,0,AD28/L5)</f>
        <v>0</v>
      </c>
      <c r="M15" s="416">
        <f>IF(M5=0,0,AE28/M5)</f>
        <v>0</v>
      </c>
      <c r="N15" s="436">
        <f>IF(N5=0,0,AF28/N5)</f>
        <v>0</v>
      </c>
      <c r="O15" s="416"/>
      <c r="P15" s="412" t="s">
        <v>62</v>
      </c>
      <c r="Q15" s="435">
        <f>IF(Q5=0,0,AP28/Q5)</f>
        <v>0</v>
      </c>
      <c r="R15" s="416">
        <f>IF(R5=0,0,AQ28/R5)</f>
        <v>0</v>
      </c>
      <c r="S15" s="436">
        <f>IF(S5=0,0,AR28/S5)</f>
        <v>0</v>
      </c>
      <c r="T15" s="416"/>
      <c r="U15" s="412" t="s">
        <v>62</v>
      </c>
      <c r="V15" s="435">
        <f>+BB28/V5</f>
        <v>21.80597021554422</v>
      </c>
      <c r="W15" s="416">
        <f>+BC28/W5</f>
        <v>21.806000124647024</v>
      </c>
      <c r="X15" s="436">
        <f>IF(X5=0,0,BD28/X5)</f>
        <v>21.80600109802801</v>
      </c>
      <c r="Y15" s="376"/>
      <c r="AC15" s="395"/>
      <c r="AG15" s="396"/>
      <c r="AK15" s="396"/>
      <c r="AO15" s="390"/>
      <c r="BA15" s="390"/>
    </row>
    <row r="16" spans="1:53" ht="12.75">
      <c r="A16" s="412" t="s">
        <v>65</v>
      </c>
      <c r="B16" s="435">
        <f>B29/B7</f>
        <v>34.078026855918544</v>
      </c>
      <c r="C16" s="416">
        <f>C29/C7</f>
        <v>33.02891796362807</v>
      </c>
      <c r="D16" s="436">
        <f>D29/D7</f>
        <v>33.44173794682039</v>
      </c>
      <c r="E16" s="416"/>
      <c r="F16" s="412" t="s">
        <v>65</v>
      </c>
      <c r="G16" s="435">
        <f>Q29/G7</f>
        <v>55.56385238284879</v>
      </c>
      <c r="H16" s="416">
        <f>R29/H7</f>
        <v>37.20685962925637</v>
      </c>
      <c r="I16" s="436">
        <f>S29/I7</f>
        <v>37.56251973182084</v>
      </c>
      <c r="J16" s="416"/>
      <c r="K16" s="412" t="s">
        <v>65</v>
      </c>
      <c r="L16" s="435">
        <f>IF(L7=0,0,AD29/L7)</f>
        <v>0</v>
      </c>
      <c r="M16" s="416">
        <f>IF(M7=0,0,AE29/M7)</f>
        <v>0</v>
      </c>
      <c r="N16" s="436">
        <f>IF(N7=0,0,AF29/N7)</f>
        <v>0</v>
      </c>
      <c r="O16" s="416"/>
      <c r="P16" s="412" t="s">
        <v>65</v>
      </c>
      <c r="Q16" s="435">
        <f>IF(Q7=0,0,AP29/Q7)</f>
        <v>0</v>
      </c>
      <c r="R16" s="416">
        <f>IF(R7=0,0,AQ29/R7)</f>
        <v>0</v>
      </c>
      <c r="S16" s="436">
        <f>IF(S7=0,0,AR29/S7)</f>
        <v>0</v>
      </c>
      <c r="T16" s="416"/>
      <c r="U16" s="412" t="s">
        <v>65</v>
      </c>
      <c r="V16" s="435">
        <f>IF(V7=0,0,BB29/V7)</f>
        <v>38.40123528702437</v>
      </c>
      <c r="W16" s="416">
        <f>IF(W7=0,0,BC29/W7)</f>
        <v>39.800963388073704</v>
      </c>
      <c r="X16" s="436">
        <f>IF(X7=0,0,BD29/X7)</f>
        <v>39.52862775213624</v>
      </c>
      <c r="Y16" s="376"/>
      <c r="AC16" s="395"/>
      <c r="AG16" s="396"/>
      <c r="AK16" s="396"/>
      <c r="AO16" s="390"/>
      <c r="BA16" s="390"/>
    </row>
    <row r="17" spans="1:53" ht="12.75">
      <c r="A17" s="412" t="s">
        <v>32</v>
      </c>
      <c r="B17" s="435">
        <f>B30/B4</f>
        <v>0.0029024193697464963</v>
      </c>
      <c r="C17" s="416">
        <f>C30/C4</f>
        <v>0.0029024193434568314</v>
      </c>
      <c r="D17" s="436">
        <f>D30/D4</f>
        <v>0.00290241935483871</v>
      </c>
      <c r="E17" s="416"/>
      <c r="F17" s="412" t="s">
        <v>32</v>
      </c>
      <c r="G17" s="435">
        <f>Q30/G4</f>
        <v>0.0029024193697464963</v>
      </c>
      <c r="H17" s="416">
        <f>R30/H4</f>
        <v>0.0029024193434568314</v>
      </c>
      <c r="I17" s="436">
        <f>S30/I4</f>
        <v>0.00290241935483871</v>
      </c>
      <c r="J17" s="416"/>
      <c r="K17" s="412" t="s">
        <v>32</v>
      </c>
      <c r="L17" s="435">
        <f>+'[1]Stmts RUS'!Q72</f>
        <v>2.95</v>
      </c>
      <c r="M17" s="416">
        <f>+L17</f>
        <v>2.95</v>
      </c>
      <c r="N17" s="436">
        <f>AF30/N4</f>
        <v>2.95</v>
      </c>
      <c r="O17" s="416"/>
      <c r="P17" s="412" t="s">
        <v>32</v>
      </c>
      <c r="Q17" s="435">
        <f>+'[2]Stmts RUS'!$H$72</f>
        <v>2.95</v>
      </c>
      <c r="R17" s="416">
        <f>+Q17</f>
        <v>2.95</v>
      </c>
      <c r="S17" s="436">
        <f>AR30/S4</f>
        <v>2.95</v>
      </c>
      <c r="T17" s="416"/>
      <c r="U17" s="412" t="s">
        <v>32</v>
      </c>
      <c r="V17" s="435">
        <f>+BB30/V4</f>
        <v>1.5493813945072112</v>
      </c>
      <c r="W17" s="416">
        <f>+BC30/W4</f>
        <v>1.4032158868654696</v>
      </c>
      <c r="X17" s="436">
        <f>+BD30/X4</f>
        <v>1.4700798603307113</v>
      </c>
      <c r="Y17" s="376"/>
      <c r="AC17" s="395"/>
      <c r="AG17" s="396"/>
      <c r="AK17" s="396"/>
      <c r="AO17" s="390"/>
      <c r="BA17" s="390"/>
    </row>
    <row r="18" spans="1:53" ht="12.75">
      <c r="A18" s="412" t="s">
        <v>34</v>
      </c>
      <c r="B18" s="435">
        <f>B31/B6</f>
        <v>-0.0004938734506993871</v>
      </c>
      <c r="C18" s="416">
        <f>C31/C6</f>
        <v>-0.0004961139812910178</v>
      </c>
      <c r="D18" s="436">
        <f>D31/D6</f>
        <v>-0.0004951439658739847</v>
      </c>
      <c r="E18" s="416"/>
      <c r="F18" s="412" t="s">
        <v>34</v>
      </c>
      <c r="G18" s="435">
        <f>Q31/G6</f>
        <v>-0.000306554391108655</v>
      </c>
      <c r="H18" s="416">
        <f>R31/H6</f>
        <v>-0.00031744355265000306</v>
      </c>
      <c r="I18" s="436">
        <f>S31/I6</f>
        <v>-0.0003127292796367913</v>
      </c>
      <c r="J18" s="416"/>
      <c r="K18" s="412" t="s">
        <v>34</v>
      </c>
      <c r="L18" s="435">
        <f>+'[1]Stmts RUS'!Q74</f>
        <v>-0.5599363424113599</v>
      </c>
      <c r="M18" s="416">
        <f>+L18</f>
        <v>-0.5599363424113599</v>
      </c>
      <c r="N18" s="436">
        <f>AF31/N6</f>
        <v>-0.5599363424113599</v>
      </c>
      <c r="O18" s="416"/>
      <c r="P18" s="412" t="s">
        <v>34</v>
      </c>
      <c r="Q18" s="435">
        <f>+'[2]Stmts RUS'!$H$74</f>
        <v>-0.5573192765653343</v>
      </c>
      <c r="R18" s="416">
        <f>+Q18</f>
        <v>-0.5573192765653343</v>
      </c>
      <c r="S18" s="436">
        <f>AR31/S6</f>
        <v>-0.5573192765653343</v>
      </c>
      <c r="T18" s="416"/>
      <c r="U18" s="412" t="s">
        <v>34</v>
      </c>
      <c r="V18" s="435">
        <f>+BB31/V6</f>
        <v>-0.29995601419104806</v>
      </c>
      <c r="W18" s="416">
        <f>+BC31/W6</f>
        <v>-0.2713492173506575</v>
      </c>
      <c r="X18" s="436">
        <f>+BD31/X6</f>
        <v>-0.2844354403648446</v>
      </c>
      <c r="Y18" s="397"/>
      <c r="AC18" s="395"/>
      <c r="AG18" s="396"/>
      <c r="AK18" s="396"/>
      <c r="AO18" s="395"/>
      <c r="AS18" s="398"/>
      <c r="AW18" s="398"/>
      <c r="BA18" s="390"/>
    </row>
    <row r="19" spans="1:53" ht="12.75">
      <c r="A19" s="412" t="s">
        <v>16</v>
      </c>
      <c r="B19" s="435">
        <f>B32/B6</f>
        <v>0.0033729426278382383</v>
      </c>
      <c r="C19" s="416">
        <f>C32/C6</f>
        <v>0.00338824455959331</v>
      </c>
      <c r="D19" s="436">
        <f>D32/D6</f>
        <v>0.0033816197405579207</v>
      </c>
      <c r="E19" s="416"/>
      <c r="F19" s="412" t="s">
        <v>16</v>
      </c>
      <c r="G19" s="435">
        <f>Q32/G6</f>
        <v>0.0035273406392158967</v>
      </c>
      <c r="H19" s="416">
        <f>R32/H6</f>
        <v>0.003652635828657149</v>
      </c>
      <c r="I19" s="436">
        <f>S32/I6</f>
        <v>0.0035983914565789824</v>
      </c>
      <c r="J19" s="416"/>
      <c r="K19" s="412" t="s">
        <v>16</v>
      </c>
      <c r="L19" s="435">
        <f>+'[1]Stmts RUS'!Q75</f>
        <v>3.674546244664427</v>
      </c>
      <c r="M19" s="416">
        <f>+L19</f>
        <v>3.674546244664427</v>
      </c>
      <c r="N19" s="436">
        <f>AF32/N6</f>
        <v>3.6745462446644264</v>
      </c>
      <c r="O19" s="416"/>
      <c r="P19" s="412" t="s">
        <v>16</v>
      </c>
      <c r="Q19" s="435">
        <f>+'[2]Stmts RUS'!$H$75</f>
        <v>3.926745984159748</v>
      </c>
      <c r="R19" s="416">
        <f>+Q19</f>
        <v>3.926745984159748</v>
      </c>
      <c r="S19" s="436">
        <f>AR32/S6</f>
        <v>3.926745984159748</v>
      </c>
      <c r="T19" s="416"/>
      <c r="U19" s="412" t="s">
        <v>16</v>
      </c>
      <c r="V19" s="435">
        <f>+BB32/V6</f>
        <v>1.9834824197487289</v>
      </c>
      <c r="W19" s="416">
        <f>+BC32/W6</f>
        <v>1.812976503550437</v>
      </c>
      <c r="X19" s="436">
        <f>+BD32/X6</f>
        <v>1.8909746959750688</v>
      </c>
      <c r="Y19" s="376"/>
      <c r="AC19" s="395"/>
      <c r="AG19" s="396"/>
      <c r="AK19" s="396"/>
      <c r="AO19" s="390"/>
      <c r="BA19" s="390"/>
    </row>
    <row r="20" spans="1:53" ht="12.75">
      <c r="A20" s="412" t="s">
        <v>35</v>
      </c>
      <c r="B20" s="435">
        <f>B33/B6</f>
        <v>0.0019481126856733398</v>
      </c>
      <c r="C20" s="416">
        <f>C33/C6</f>
        <v>0.0019569506231600104</v>
      </c>
      <c r="D20" s="436">
        <f>D33/D6</f>
        <v>0.0019531243260994533</v>
      </c>
      <c r="E20" s="416"/>
      <c r="F20" s="412" t="s">
        <v>35</v>
      </c>
      <c r="G20" s="435">
        <f>Q33/G6</f>
        <v>0.002221536802074684</v>
      </c>
      <c r="H20" s="416">
        <f>R33/H6</f>
        <v>0.002300448355484062</v>
      </c>
      <c r="I20" s="436">
        <f>S33/I6</f>
        <v>0.002266284971530591</v>
      </c>
      <c r="J20" s="416"/>
      <c r="K20" s="412" t="s">
        <v>35</v>
      </c>
      <c r="L20" s="435">
        <f>+'[1]Stmts RUS'!Q76</f>
        <v>2.02290481433111</v>
      </c>
      <c r="M20" s="416">
        <f>+L20</f>
        <v>2.02290481433111</v>
      </c>
      <c r="N20" s="436">
        <f>AF33/N6</f>
        <v>2.02290481433111</v>
      </c>
      <c r="O20" s="416"/>
      <c r="P20" s="412" t="s">
        <v>35</v>
      </c>
      <c r="Q20" s="435">
        <f>+'[2]Stmts RUS'!$H$76</f>
        <v>2.4849940171317084</v>
      </c>
      <c r="R20" s="416">
        <f>+Q20</f>
        <v>2.4849940171317084</v>
      </c>
      <c r="S20" s="436">
        <f>AR33/S6</f>
        <v>2.4849940171317084</v>
      </c>
      <c r="T20" s="416"/>
      <c r="U20" s="412" t="s">
        <v>35</v>
      </c>
      <c r="V20" s="435">
        <f>+BB33/V6</f>
        <v>1.2428045156904288</v>
      </c>
      <c r="W20" s="416">
        <f>+BC33/W6</f>
        <v>1.1405644881232786</v>
      </c>
      <c r="X20" s="436">
        <f>+BD33/X6</f>
        <v>1.1873343452724474</v>
      </c>
      <c r="Y20" s="376"/>
      <c r="AC20" s="395"/>
      <c r="AG20" s="396"/>
      <c r="AK20" s="396"/>
      <c r="AO20" s="390"/>
      <c r="BA20" s="390"/>
    </row>
    <row r="21" spans="1:53" ht="12.75">
      <c r="A21" s="412" t="s">
        <v>36</v>
      </c>
      <c r="B21" s="435">
        <f>B34/B4</f>
        <v>0.0018588682470709183</v>
      </c>
      <c r="C21" s="416">
        <f>C34/C4</f>
        <v>0.001858862801244176</v>
      </c>
      <c r="D21" s="436">
        <f>D34/D4</f>
        <v>0.0018588651589668123</v>
      </c>
      <c r="E21" s="416"/>
      <c r="F21" s="412" t="s">
        <v>36</v>
      </c>
      <c r="G21" s="435">
        <f>Q34/G4</f>
        <v>0.0018588682470709183</v>
      </c>
      <c r="H21" s="416">
        <f>R34/H4</f>
        <v>0.001858862801244176</v>
      </c>
      <c r="I21" s="436">
        <f>S34/I4</f>
        <v>0.0018588651589668123</v>
      </c>
      <c r="J21" s="416"/>
      <c r="K21" s="412" t="s">
        <v>36</v>
      </c>
      <c r="L21" s="435">
        <f>+'[1]Stmts RUS'!Q77</f>
        <v>1.880827330932373</v>
      </c>
      <c r="M21" s="416">
        <f>+L21</f>
        <v>1.880827330932373</v>
      </c>
      <c r="N21" s="436">
        <f>AF34/N4</f>
        <v>1.8808273309323729</v>
      </c>
      <c r="O21" s="416"/>
      <c r="P21" s="412" t="s">
        <v>36</v>
      </c>
      <c r="Q21" s="435">
        <f>+'[2]Stmts RUS'!$H$77</f>
        <v>1.9209757864939996</v>
      </c>
      <c r="R21" s="416">
        <f>+Q21</f>
        <v>1.9209757864939996</v>
      </c>
      <c r="S21" s="436">
        <f>AR34/S4</f>
        <v>1.9209757864939996</v>
      </c>
      <c r="T21" s="416"/>
      <c r="U21" s="412" t="s">
        <v>36</v>
      </c>
      <c r="V21" s="435">
        <f>+BB34/V6</f>
        <v>0.9830113352058049</v>
      </c>
      <c r="W21" s="416">
        <f>+BC34/W6</f>
        <v>0.8904434126067903</v>
      </c>
      <c r="X21" s="436">
        <f>+BD34/X6</f>
        <v>0.9327887505294324</v>
      </c>
      <c r="Y21" s="376"/>
      <c r="AC21" s="396"/>
      <c r="AG21" s="396"/>
      <c r="AK21" s="396"/>
      <c r="AO21" s="393"/>
      <c r="BA21" s="390"/>
    </row>
    <row r="22" spans="1:53" ht="12.75">
      <c r="A22" s="412" t="s">
        <v>70</v>
      </c>
      <c r="B22" s="435">
        <f>IF(B8=0,0,-B35/B8)</f>
        <v>0</v>
      </c>
      <c r="C22" s="416">
        <f>IF(C8=0,0,-C35/C8)</f>
        <v>0</v>
      </c>
      <c r="D22" s="436">
        <f>IF(D8=0,0,-D35/D8)</f>
        <v>0</v>
      </c>
      <c r="E22" s="416"/>
      <c r="F22" s="412" t="s">
        <v>70</v>
      </c>
      <c r="G22" s="435">
        <f>IF(G8=0,0,-Q35/G8)</f>
        <v>-35.51181476727048</v>
      </c>
      <c r="H22" s="416">
        <f>IF(H8=0,0,-R35/H8)</f>
        <v>0</v>
      </c>
      <c r="I22" s="436">
        <f>IF(I8=0,0,-S35/I8)</f>
        <v>-35.51181476727048</v>
      </c>
      <c r="J22" s="416"/>
      <c r="K22" s="412" t="s">
        <v>70</v>
      </c>
      <c r="L22" s="435">
        <f>IF(L8=0,0,-AD35/L8)</f>
        <v>0</v>
      </c>
      <c r="M22" s="416">
        <f>IF(M8=0,0,-AE35/M8)</f>
        <v>0</v>
      </c>
      <c r="N22" s="436">
        <f>IF(N8=0,0,-AF35/N8)</f>
        <v>0</v>
      </c>
      <c r="O22" s="416"/>
      <c r="P22" s="412" t="s">
        <v>70</v>
      </c>
      <c r="Q22" s="435">
        <f>IF(Q8=0,0,-AP35/Q8)</f>
        <v>0</v>
      </c>
      <c r="R22" s="416">
        <f>IF(R8=0,0,-AQ35/R8)</f>
        <v>0</v>
      </c>
      <c r="S22" s="436">
        <f>IF(S8=0,0,-AR35/S8)</f>
        <v>0</v>
      </c>
      <c r="T22" s="416"/>
      <c r="U22" s="412" t="s">
        <v>70</v>
      </c>
      <c r="V22" s="435">
        <f>+BB35/V8</f>
        <v>34.70870982647089</v>
      </c>
      <c r="W22" s="416">
        <f>IF(BC35=0,0,+BC35/W8)</f>
        <v>0</v>
      </c>
      <c r="X22" s="436">
        <f>+BD35/X8</f>
        <v>34.70870982647089</v>
      </c>
      <c r="Y22" s="376"/>
      <c r="AC22" s="396"/>
      <c r="AG22" s="396"/>
      <c r="AK22" s="396"/>
      <c r="AO22" s="390"/>
      <c r="BA22" s="390"/>
    </row>
    <row r="23" spans="1:53" ht="12.75">
      <c r="A23" s="412" t="s">
        <v>80</v>
      </c>
      <c r="B23" s="437">
        <f>+IF(B36=0,0,B36/B9)</f>
        <v>0</v>
      </c>
      <c r="C23" s="438">
        <f>+IF(C36=0,0,C36/C9)</f>
        <v>29.454216216216214</v>
      </c>
      <c r="D23" s="439">
        <f>+IF(D36=0,0,D36/D9)</f>
        <v>29.454216216216214</v>
      </c>
      <c r="E23" s="417"/>
      <c r="F23" s="412" t="s">
        <v>80</v>
      </c>
      <c r="G23" s="437">
        <f>+IF(Q36=0,0,Q36/G9)</f>
        <v>0</v>
      </c>
      <c r="H23" s="438">
        <f>+IF(R36=0,0,R36/H9)</f>
        <v>0</v>
      </c>
      <c r="I23" s="439">
        <f>+IF(S36=0,0,S36/I9)</f>
        <v>0</v>
      </c>
      <c r="J23" s="417"/>
      <c r="K23" s="412" t="s">
        <v>80</v>
      </c>
      <c r="L23" s="437">
        <f>+IF(AD36=0,0,AD36/L9)</f>
        <v>0</v>
      </c>
      <c r="M23" s="438">
        <f>+IF(AE36=0,0,AE36/M9)</f>
        <v>0</v>
      </c>
      <c r="N23" s="439">
        <f>+IF(AF36=0,0,AF36/N9)</f>
        <v>0</v>
      </c>
      <c r="O23" s="417"/>
      <c r="P23" s="412" t="s">
        <v>80</v>
      </c>
      <c r="Q23" s="437">
        <f>+IF(AP36=0,0,AP36/Q9)</f>
        <v>0</v>
      </c>
      <c r="R23" s="438">
        <f>+IF(AQ36=0,0,AQ36/R9)</f>
        <v>0</v>
      </c>
      <c r="S23" s="439">
        <f>+IF(AR36=0,0,AR36/S9)</f>
        <v>0</v>
      </c>
      <c r="T23" s="417"/>
      <c r="U23" s="412" t="s">
        <v>80</v>
      </c>
      <c r="V23" s="437">
        <f>IF(BB36=0,0,+BB36/V9)</f>
        <v>0</v>
      </c>
      <c r="W23" s="438">
        <f>IF(BC36=0,0,+BC36/W9)</f>
        <v>30.11442396313364</v>
      </c>
      <c r="X23" s="439">
        <f>IF(BD36=0,0,+BD36/X9)</f>
        <v>30.11442396313364</v>
      </c>
      <c r="Y23" s="376"/>
      <c r="AC23" s="396"/>
      <c r="AG23" s="399"/>
      <c r="AK23" s="399"/>
      <c r="AO23" s="390"/>
      <c r="BA23" s="390"/>
    </row>
    <row r="24" spans="1:53" ht="12.75">
      <c r="A24" s="412" t="s">
        <v>77</v>
      </c>
      <c r="B24" s="435">
        <f>B38/B11</f>
        <v>0.04946111395284881</v>
      </c>
      <c r="C24" s="416">
        <f>C38/C11</f>
        <v>0.04962303795098285</v>
      </c>
      <c r="D24" s="436">
        <f>D38/D11</f>
        <v>0.049552934624500763</v>
      </c>
      <c r="E24" s="416"/>
      <c r="F24" s="412" t="s">
        <v>77</v>
      </c>
      <c r="G24" s="435">
        <f>Q38/G11</f>
        <v>0.009712065999653815</v>
      </c>
      <c r="H24" s="416">
        <f>R38/H11</f>
        <v>0.010939089605383754</v>
      </c>
      <c r="I24" s="436">
        <f>S38/I11</f>
        <v>0.010407873351209603</v>
      </c>
      <c r="J24" s="416"/>
      <c r="K24" s="412" t="s">
        <v>77</v>
      </c>
      <c r="L24" s="435">
        <f>AD38/L11</f>
        <v>9.96834204751655</v>
      </c>
      <c r="M24" s="416">
        <f>AE38/M11</f>
        <v>9.968342047516549</v>
      </c>
      <c r="N24" s="436">
        <f>AF38/N11</f>
        <v>9.968342047516549</v>
      </c>
      <c r="O24" s="416"/>
      <c r="P24" s="412" t="s">
        <v>77</v>
      </c>
      <c r="Q24" s="435">
        <f>AP38/Q11</f>
        <v>10.72539651122012</v>
      </c>
      <c r="R24" s="416">
        <f>AQ38/R11</f>
        <v>10.725396511220124</v>
      </c>
      <c r="S24" s="436">
        <f>AR38/S11</f>
        <v>10.725396511220122</v>
      </c>
      <c r="T24" s="416"/>
      <c r="U24" s="412" t="s">
        <v>77</v>
      </c>
      <c r="V24" s="435">
        <f>BB38/V11</f>
        <v>5.458720288672076</v>
      </c>
      <c r="W24" s="416">
        <f>BC38/W11</f>
        <v>4.976124644749029</v>
      </c>
      <c r="X24" s="436">
        <f>BD38/X11</f>
        <v>5.196888447537314</v>
      </c>
      <c r="Y24" s="376"/>
      <c r="AC24" s="395"/>
      <c r="AG24" s="396"/>
      <c r="AK24" s="396"/>
      <c r="AO24" s="390"/>
      <c r="BA24" s="390"/>
    </row>
    <row r="25" spans="1:53" ht="8.25" customHeight="1">
      <c r="A25" s="406"/>
      <c r="B25" s="428"/>
      <c r="C25" s="410"/>
      <c r="D25" s="429"/>
      <c r="E25" s="410"/>
      <c r="F25" s="406"/>
      <c r="G25" s="428"/>
      <c r="H25" s="410"/>
      <c r="I25" s="429"/>
      <c r="J25" s="410"/>
      <c r="K25" s="406"/>
      <c r="L25" s="428"/>
      <c r="M25" s="410"/>
      <c r="N25" s="429"/>
      <c r="O25" s="410"/>
      <c r="P25" s="406"/>
      <c r="Q25" s="428"/>
      <c r="R25" s="410"/>
      <c r="S25" s="429"/>
      <c r="T25" s="410"/>
      <c r="U25" s="406"/>
      <c r="V25" s="428"/>
      <c r="W25" s="410"/>
      <c r="X25" s="429"/>
      <c r="Y25" s="390"/>
      <c r="AC25" s="390"/>
      <c r="AG25" s="393"/>
      <c r="AK25" s="393"/>
      <c r="AO25" s="390"/>
      <c r="BA25" s="390"/>
    </row>
    <row r="26" spans="1:53" ht="12.75">
      <c r="A26" s="418" t="s">
        <v>78</v>
      </c>
      <c r="B26" s="428"/>
      <c r="C26" s="410"/>
      <c r="D26" s="429"/>
      <c r="E26" s="410"/>
      <c r="F26" s="418" t="s">
        <v>78</v>
      </c>
      <c r="G26" s="428"/>
      <c r="H26" s="410"/>
      <c r="I26" s="429"/>
      <c r="J26" s="410"/>
      <c r="K26" s="418" t="s">
        <v>78</v>
      </c>
      <c r="L26" s="428"/>
      <c r="M26" s="410"/>
      <c r="N26" s="429"/>
      <c r="O26" s="410"/>
      <c r="P26" s="418" t="s">
        <v>78</v>
      </c>
      <c r="Q26" s="428"/>
      <c r="R26" s="410"/>
      <c r="S26" s="429"/>
      <c r="T26" s="410"/>
      <c r="U26" s="418" t="s">
        <v>78</v>
      </c>
      <c r="V26" s="428"/>
      <c r="W26" s="410"/>
      <c r="X26" s="429"/>
      <c r="Y26" s="386"/>
      <c r="AC26" s="390"/>
      <c r="AG26" s="393"/>
      <c r="AK26" s="393"/>
      <c r="AO26" s="390"/>
      <c r="BA26" s="390"/>
    </row>
    <row r="27" spans="1:53" ht="16.8" thickBot="1">
      <c r="A27" s="412" t="s">
        <v>61</v>
      </c>
      <c r="B27" s="420">
        <f>+'5-2012-BY'!T10</f>
        <v>10569510.17</v>
      </c>
      <c r="C27" s="440">
        <f>+'5-2012-BY'!T9</f>
        <v>13843760.61</v>
      </c>
      <c r="D27" s="422">
        <f aca="true" t="shared" si="2" ref="D27:D37">SUM(B27:C27)</f>
        <v>24413270.78</v>
      </c>
      <c r="E27" s="411"/>
      <c r="F27" s="412" t="s">
        <v>61</v>
      </c>
      <c r="G27" s="420">
        <f>+'8-2012-BY'!T10</f>
        <v>10569510.17</v>
      </c>
      <c r="H27" s="440">
        <f>+'8-2012-BY'!T9</f>
        <v>13843760.61</v>
      </c>
      <c r="I27" s="422">
        <f>SUM(G27:H27)</f>
        <v>24413270.78</v>
      </c>
      <c r="J27" s="411"/>
      <c r="K27" s="412" t="s">
        <v>61</v>
      </c>
      <c r="L27" s="420">
        <f>+L4*L14</f>
        <v>13397188.482885247</v>
      </c>
      <c r="M27" s="440">
        <f>+M4*M14</f>
        <v>10228558.841704918</v>
      </c>
      <c r="N27" s="422">
        <f>SUM(L27:M27)</f>
        <v>23625747.324590165</v>
      </c>
      <c r="O27" s="411"/>
      <c r="P27" s="412" t="s">
        <v>61</v>
      </c>
      <c r="Q27" s="420">
        <f>+Q4*Q14</f>
        <v>9816057.55292055</v>
      </c>
      <c r="R27" s="440">
        <f>+R4*R14</f>
        <v>12516771.800284933</v>
      </c>
      <c r="S27" s="422">
        <f>SUM(Q27:R27)</f>
        <v>22332829.353205483</v>
      </c>
      <c r="T27" s="411"/>
      <c r="U27" s="412" t="s">
        <v>61</v>
      </c>
      <c r="V27" s="420">
        <f>+B27+B66+B95+G27+G66+G95+L27+L66+L95+Q27+Q66+Q95</f>
        <v>132044925.1391452</v>
      </c>
      <c r="W27" s="440">
        <f>+C27+C66+C95+H27+H66+H95+M27+M66+M95+R27+R66+R95</f>
        <v>156610795.18030688</v>
      </c>
      <c r="X27" s="422">
        <f>SUM(V27:W27)</f>
        <v>288655720.31945205</v>
      </c>
      <c r="Y27" s="376"/>
      <c r="AC27" s="394"/>
      <c r="AG27" s="381"/>
      <c r="AK27" s="381"/>
      <c r="AO27" s="390"/>
      <c r="BA27" s="390"/>
    </row>
    <row r="28" spans="1:56" ht="16.5" customHeight="1">
      <c r="A28" s="412" t="s">
        <v>62</v>
      </c>
      <c r="B28" s="413">
        <f>+'5-2012-BY'!T17</f>
        <v>82662.5</v>
      </c>
      <c r="C28" s="411">
        <f>+'5-2012-BY'!T16</f>
        <v>143563.45</v>
      </c>
      <c r="D28" s="414">
        <f t="shared" si="2"/>
        <v>226225.95</v>
      </c>
      <c r="E28" s="411"/>
      <c r="F28" s="412"/>
      <c r="G28" s="413">
        <f>+'6-2012-BY'!T17</f>
        <v>18051.25</v>
      </c>
      <c r="H28" s="411">
        <f>+'6-2012-BY'!T16</f>
        <v>145036.7</v>
      </c>
      <c r="I28" s="414">
        <f aca="true" t="shared" si="3" ref="I28:I37">SUM(G28:H28)</f>
        <v>163087.95</v>
      </c>
      <c r="J28" s="411"/>
      <c r="K28" s="412"/>
      <c r="L28" s="413">
        <f>+'7-2012-BY'!T17</f>
        <v>97.03</v>
      </c>
      <c r="M28" s="411">
        <f>+'7-2012-BY'!T16</f>
        <v>146719.69999999998</v>
      </c>
      <c r="N28" s="414">
        <f aca="true" t="shared" si="4" ref="N28:N37">SUM(L28:M28)</f>
        <v>146816.72999999998</v>
      </c>
      <c r="O28" s="411"/>
      <c r="P28" s="412"/>
      <c r="Q28" s="413">
        <f>+'8-2012-BY'!T17</f>
        <v>-102221.29</v>
      </c>
      <c r="R28" s="411">
        <f>+'8-2012-BY'!T16</f>
        <v>133842.02</v>
      </c>
      <c r="S28" s="414">
        <f aca="true" t="shared" si="5" ref="S28:S37">SUM(Q28:R28)</f>
        <v>31620.729999999996</v>
      </c>
      <c r="T28" s="411"/>
      <c r="U28" s="412"/>
      <c r="V28" s="413">
        <f>+'9-2012-BY'!T17</f>
        <v>-30784.74</v>
      </c>
      <c r="W28" s="411">
        <f>+'9-2012-BY'!T16</f>
        <v>111515.26</v>
      </c>
      <c r="X28" s="414">
        <f aca="true" t="shared" si="6" ref="X28:X37">SUM(V28:W28)</f>
        <v>80730.51999999999</v>
      </c>
      <c r="Y28" s="376"/>
      <c r="Z28" s="377">
        <f>+'10-2012-BY'!T17</f>
        <v>7647.070000000001</v>
      </c>
      <c r="AA28" s="378">
        <f>+'10-2012-BY'!T16</f>
        <v>98164.68</v>
      </c>
      <c r="AB28" s="379">
        <f aca="true" t="shared" si="7" ref="AB28:AB37">SUM(Z28:AA28)</f>
        <v>105811.75</v>
      </c>
      <c r="AC28" s="394"/>
      <c r="AD28" s="377">
        <v>0</v>
      </c>
      <c r="AE28" s="378">
        <v>0</v>
      </c>
      <c r="AF28" s="379">
        <f aca="true" t="shared" si="8" ref="AF28:AF36">SUM(AD28:AE28)</f>
        <v>0</v>
      </c>
      <c r="AG28" s="381"/>
      <c r="AH28" s="377">
        <v>0</v>
      </c>
      <c r="AI28" s="378">
        <v>0</v>
      </c>
      <c r="AJ28" s="379">
        <f aca="true" t="shared" si="9" ref="AJ28:AJ36">SUM(AH28:AI28)</f>
        <v>0</v>
      </c>
      <c r="AK28" s="381"/>
      <c r="AL28" s="377">
        <v>0</v>
      </c>
      <c r="AM28" s="378">
        <v>0</v>
      </c>
      <c r="AN28" s="379">
        <f aca="true" t="shared" si="10" ref="AN28:AN36">SUM(AL28:AM28)</f>
        <v>0</v>
      </c>
      <c r="AO28" s="390"/>
      <c r="AP28" s="377">
        <v>0</v>
      </c>
      <c r="AQ28" s="378">
        <v>0</v>
      </c>
      <c r="AR28" s="379">
        <f aca="true" t="shared" si="11" ref="AR28:AR36">SUM(AP28:AQ28)</f>
        <v>0</v>
      </c>
      <c r="AT28" s="377">
        <v>0</v>
      </c>
      <c r="AU28" s="378">
        <v>0</v>
      </c>
      <c r="AV28" s="379">
        <f aca="true" t="shared" si="12" ref="AV28:AV36">SUM(AT28:AU28)</f>
        <v>0</v>
      </c>
      <c r="AX28" s="377">
        <v>0</v>
      </c>
      <c r="AY28" s="378">
        <v>0</v>
      </c>
      <c r="AZ28" s="379">
        <f aca="true" t="shared" si="13" ref="AZ28:AZ36">SUM(AX28:AY28)</f>
        <v>0</v>
      </c>
      <c r="BA28" s="390"/>
      <c r="BB28" s="377">
        <f aca="true" t="shared" si="14" ref="BB28:BB37">+B28+G28+L28+Q28+V28+Z28+AD28+AH28+AL28+AP28+AT28+AX28</f>
        <v>-24548.179999999997</v>
      </c>
      <c r="BC28" s="378">
        <f aca="true" t="shared" si="15" ref="BC28:BC37">+C28+H28+M28+R28+W28+AA28+AE28+AI28+AM28+AQ28+AU28+AY28</f>
        <v>778841.81</v>
      </c>
      <c r="BD28" s="379">
        <f aca="true" t="shared" si="16" ref="BD28:BD36">SUM(BB28:BC28)</f>
        <v>754293.63</v>
      </c>
    </row>
    <row r="29" spans="1:56" ht="16.5" customHeight="1">
      <c r="A29" s="412" t="s">
        <v>65</v>
      </c>
      <c r="B29" s="413">
        <f>+'5-2012-BY'!E24</f>
        <v>46538.93</v>
      </c>
      <c r="C29" s="411">
        <f>+'5-2012-BY'!E23</f>
        <v>69523.23</v>
      </c>
      <c r="D29" s="414">
        <f t="shared" si="2"/>
        <v>116062.16</v>
      </c>
      <c r="E29" s="411"/>
      <c r="F29" s="412"/>
      <c r="G29" s="413">
        <f>+'6-2012-BY'!E24</f>
        <v>12986.2</v>
      </c>
      <c r="H29" s="411">
        <f>+'6-2012-BY'!E23</f>
        <v>92319.11</v>
      </c>
      <c r="I29" s="414">
        <f t="shared" si="3"/>
        <v>105305.31</v>
      </c>
      <c r="J29" s="411"/>
      <c r="K29" s="412"/>
      <c r="L29" s="413">
        <f>+'7-2012-BY'!E24</f>
        <v>8707.93</v>
      </c>
      <c r="M29" s="411">
        <f>+'7-2012-BY'!E23</f>
        <v>138799.45</v>
      </c>
      <c r="N29" s="414">
        <f t="shared" si="4"/>
        <v>147507.38</v>
      </c>
      <c r="O29" s="411"/>
      <c r="P29" s="412"/>
      <c r="Q29" s="413">
        <f>+'8-2012-BY'!E24</f>
        <v>1674.25</v>
      </c>
      <c r="R29" s="411">
        <f>+'8-2012-BY'!E23</f>
        <v>56744.07</v>
      </c>
      <c r="S29" s="414">
        <f t="shared" si="5"/>
        <v>58418.32</v>
      </c>
      <c r="T29" s="411"/>
      <c r="U29" s="412"/>
      <c r="V29" s="413">
        <f>+'9-2012-BY'!E24</f>
        <v>12421.43</v>
      </c>
      <c r="W29" s="411">
        <f>+'9-2012-BY'!E23</f>
        <v>20173.1</v>
      </c>
      <c r="X29" s="414">
        <f t="shared" si="6"/>
        <v>32594.53</v>
      </c>
      <c r="Y29" s="376"/>
      <c r="Z29" s="373">
        <f>+'10-2012-BY'!E24</f>
        <v>11615.85</v>
      </c>
      <c r="AA29" s="374">
        <f>+'10-2012-BY'!E23</f>
        <v>25520.64</v>
      </c>
      <c r="AB29" s="375">
        <f t="shared" si="7"/>
        <v>37136.49</v>
      </c>
      <c r="AC29" s="394"/>
      <c r="AD29" s="373">
        <v>0</v>
      </c>
      <c r="AE29" s="374">
        <v>0</v>
      </c>
      <c r="AF29" s="375">
        <f t="shared" si="8"/>
        <v>0</v>
      </c>
      <c r="AG29" s="381"/>
      <c r="AH29" s="373">
        <v>0</v>
      </c>
      <c r="AI29" s="374">
        <v>0</v>
      </c>
      <c r="AJ29" s="375">
        <f t="shared" si="9"/>
        <v>0</v>
      </c>
      <c r="AK29" s="381"/>
      <c r="AL29" s="373">
        <v>0</v>
      </c>
      <c r="AM29" s="374">
        <v>0</v>
      </c>
      <c r="AN29" s="375">
        <f t="shared" si="10"/>
        <v>0</v>
      </c>
      <c r="AO29" s="390"/>
      <c r="AP29" s="373">
        <v>0</v>
      </c>
      <c r="AQ29" s="374">
        <v>0</v>
      </c>
      <c r="AR29" s="375">
        <f t="shared" si="11"/>
        <v>0</v>
      </c>
      <c r="AT29" s="373">
        <v>0</v>
      </c>
      <c r="AU29" s="374">
        <v>0</v>
      </c>
      <c r="AV29" s="375">
        <f t="shared" si="12"/>
        <v>0</v>
      </c>
      <c r="AX29" s="373">
        <v>0</v>
      </c>
      <c r="AY29" s="374">
        <v>0</v>
      </c>
      <c r="AZ29" s="375">
        <f t="shared" si="13"/>
        <v>0</v>
      </c>
      <c r="BA29" s="390"/>
      <c r="BB29" s="373">
        <f t="shared" si="14"/>
        <v>93944.59</v>
      </c>
      <c r="BC29" s="374">
        <f t="shared" si="15"/>
        <v>403079.60000000003</v>
      </c>
      <c r="BD29" s="375">
        <f t="shared" si="16"/>
        <v>497024.19000000006</v>
      </c>
    </row>
    <row r="30" spans="1:56" ht="16.5" customHeight="1">
      <c r="A30" s="412" t="s">
        <v>32</v>
      </c>
      <c r="B30" s="413">
        <f>+'5-2012-BY'!C24</f>
        <v>778766.02</v>
      </c>
      <c r="C30" s="411">
        <f>+'5-2012-BY'!C23</f>
        <v>1020014.18</v>
      </c>
      <c r="D30" s="414">
        <f t="shared" si="2"/>
        <v>1798780.2000000002</v>
      </c>
      <c r="E30" s="411"/>
      <c r="F30" s="412"/>
      <c r="G30" s="413">
        <f>+'6-2012-BY'!C24</f>
        <v>778766.02</v>
      </c>
      <c r="H30" s="411">
        <f>+'6-2012-BY'!C23</f>
        <v>1020014.18</v>
      </c>
      <c r="I30" s="414">
        <f t="shared" si="3"/>
        <v>1798780.2000000002</v>
      </c>
      <c r="J30" s="411"/>
      <c r="K30" s="412"/>
      <c r="L30" s="413">
        <f>+'7-2012-BY'!C24</f>
        <v>778766.02</v>
      </c>
      <c r="M30" s="411">
        <f>+'7-2012-BY'!C23</f>
        <v>1020014.18</v>
      </c>
      <c r="N30" s="414">
        <f t="shared" si="4"/>
        <v>1798780.2000000002</v>
      </c>
      <c r="O30" s="411"/>
      <c r="P30" s="412"/>
      <c r="Q30" s="413">
        <f>+'8-2012-BY'!C24</f>
        <v>778766.02</v>
      </c>
      <c r="R30" s="411">
        <f>+'8-2012-BY'!C23</f>
        <v>1020014.18</v>
      </c>
      <c r="S30" s="414">
        <f t="shared" si="5"/>
        <v>1798780.2000000002</v>
      </c>
      <c r="T30" s="411"/>
      <c r="U30" s="412"/>
      <c r="V30" s="413">
        <f>+'9-2012-BY'!C24</f>
        <v>778766.02</v>
      </c>
      <c r="W30" s="411">
        <f>+'9-2012-BY'!C23</f>
        <v>1020014.18</v>
      </c>
      <c r="X30" s="414">
        <f t="shared" si="6"/>
        <v>1798780.2000000002</v>
      </c>
      <c r="Y30" s="376"/>
      <c r="Z30" s="377">
        <f>+'10-2012-BY'!C24</f>
        <v>778766.02</v>
      </c>
      <c r="AA30" s="378">
        <f>+'10-2012-BY'!C23</f>
        <v>1020014.18</v>
      </c>
      <c r="AB30" s="379">
        <f t="shared" si="7"/>
        <v>1798780.2000000002</v>
      </c>
      <c r="AC30" s="394"/>
      <c r="AD30" s="377">
        <f>+L4*L17</f>
        <v>1003292640.0000001</v>
      </c>
      <c r="AE30" s="378">
        <f>+M4*M17</f>
        <v>765999360</v>
      </c>
      <c r="AF30" s="379">
        <f t="shared" si="8"/>
        <v>1769292000</v>
      </c>
      <c r="AG30" s="381"/>
      <c r="AH30" s="377">
        <f>+L43*L56</f>
        <v>1036735727.9999999</v>
      </c>
      <c r="AI30" s="378">
        <f>+M43*M56</f>
        <v>791532672.0000001</v>
      </c>
      <c r="AJ30" s="379">
        <f t="shared" si="9"/>
        <v>1828268400</v>
      </c>
      <c r="AK30" s="381"/>
      <c r="AL30" s="377">
        <f>+L72*L85</f>
        <v>813041711.9999999</v>
      </c>
      <c r="AM30" s="378">
        <f>+M72*M85</f>
        <v>1036735727.9999999</v>
      </c>
      <c r="AN30" s="379">
        <f t="shared" si="10"/>
        <v>1849777439.9999998</v>
      </c>
      <c r="AO30" s="390"/>
      <c r="AP30" s="377">
        <f>+Q4*Q17</f>
        <v>734360256</v>
      </c>
      <c r="AQ30" s="378">
        <f>+R4*R17</f>
        <v>936406464</v>
      </c>
      <c r="AR30" s="379">
        <f t="shared" si="11"/>
        <v>1670766720</v>
      </c>
      <c r="AT30" s="377">
        <f>+Q43*Q56</f>
        <v>813041711.9999999</v>
      </c>
      <c r="AU30" s="378">
        <f>+R43*R56</f>
        <v>1036735727.9999999</v>
      </c>
      <c r="AV30" s="379">
        <f t="shared" si="12"/>
        <v>1849777439.9999998</v>
      </c>
      <c r="AX30" s="377">
        <f>+Q72*Q85</f>
        <v>786814560</v>
      </c>
      <c r="AY30" s="378">
        <f>+R72*R85</f>
        <v>1003292640.0000001</v>
      </c>
      <c r="AZ30" s="379">
        <f t="shared" si="13"/>
        <v>1790107200</v>
      </c>
      <c r="BA30" s="390"/>
      <c r="BB30" s="377">
        <f t="shared" si="14"/>
        <v>5191959204.12</v>
      </c>
      <c r="BC30" s="378">
        <f t="shared" si="15"/>
        <v>5576822677.08</v>
      </c>
      <c r="BD30" s="379">
        <f t="shared" si="16"/>
        <v>10768781881.2</v>
      </c>
    </row>
    <row r="31" spans="1:56" ht="16.5" customHeight="1">
      <c r="A31" s="412" t="s">
        <v>34</v>
      </c>
      <c r="B31" s="413">
        <f>+'5-2012-BY'!O5</f>
        <v>-132516.1</v>
      </c>
      <c r="C31" s="411">
        <f>+'5-2012-BY'!O4</f>
        <v>-174355.5</v>
      </c>
      <c r="D31" s="414">
        <f t="shared" si="2"/>
        <v>-306871.6</v>
      </c>
      <c r="E31" s="411"/>
      <c r="F31" s="412"/>
      <c r="G31" s="413">
        <f>+'6-2012-BY'!O5</f>
        <v>-110186.68</v>
      </c>
      <c r="H31" s="411">
        <f>+'6-2012-BY'!O4</f>
        <v>-146675.43</v>
      </c>
      <c r="I31" s="414">
        <f t="shared" si="3"/>
        <v>-256862.11</v>
      </c>
      <c r="J31" s="411"/>
      <c r="K31" s="412"/>
      <c r="L31" s="413">
        <f>+'7-2012-BY'!O5</f>
        <v>-128793.89</v>
      </c>
      <c r="M31" s="411">
        <f>+'7-2012-BY'!O4</f>
        <v>-171918.84</v>
      </c>
      <c r="N31" s="414">
        <f t="shared" si="4"/>
        <v>-300712.73</v>
      </c>
      <c r="O31" s="411"/>
      <c r="P31" s="412"/>
      <c r="Q31" s="413">
        <f>+'8-2012-BY'!O5</f>
        <v>-82252.06</v>
      </c>
      <c r="R31" s="411">
        <f>+'8-2012-BY'!O4</f>
        <v>-111562.99</v>
      </c>
      <c r="S31" s="414">
        <f t="shared" si="5"/>
        <v>-193815.05</v>
      </c>
      <c r="T31" s="411"/>
      <c r="U31" s="412"/>
      <c r="V31" s="413">
        <f>+'9-2012-BY'!O5</f>
        <v>-146943.71</v>
      </c>
      <c r="W31" s="411">
        <f>+'9-2012-BY'!O4</f>
        <v>-196426.29</v>
      </c>
      <c r="X31" s="414">
        <f t="shared" si="6"/>
        <v>-343370</v>
      </c>
      <c r="Y31" s="376"/>
      <c r="Z31" s="373">
        <f>+'10-2012-BY'!O5</f>
        <v>-99406.73</v>
      </c>
      <c r="AA31" s="374">
        <f>+'10-2012-BY'!O4</f>
        <v>-131696.9</v>
      </c>
      <c r="AB31" s="375">
        <f t="shared" si="7"/>
        <v>-231103.63</v>
      </c>
      <c r="AC31" s="394"/>
      <c r="AD31" s="373">
        <f>+L6*L18</f>
        <v>-190433902.10502958</v>
      </c>
      <c r="AE31" s="374">
        <f>+M6*M18</f>
        <v>-145393518.61960763</v>
      </c>
      <c r="AF31" s="375">
        <f t="shared" si="8"/>
        <v>-335827420.7246372</v>
      </c>
      <c r="AG31" s="381"/>
      <c r="AH31" s="373">
        <f>+L45*L57</f>
        <v>-206911511.85807788</v>
      </c>
      <c r="AI31" s="374">
        <f>+M45*M57</f>
        <v>-157973934.3646736</v>
      </c>
      <c r="AJ31" s="375">
        <f t="shared" si="9"/>
        <v>-364885446.2227515</v>
      </c>
      <c r="AK31" s="381"/>
      <c r="AL31" s="373">
        <f>+L74*L86</f>
        <v>-163297626.53892758</v>
      </c>
      <c r="AM31" s="374">
        <f>+M74*M86</f>
        <v>-208226074.05228332</v>
      </c>
      <c r="AN31" s="375">
        <f t="shared" si="10"/>
        <v>-371523700.5912109</v>
      </c>
      <c r="AO31" s="390"/>
      <c r="AP31" s="373">
        <f>+Q6*Q18</f>
        <v>-138736653.08889955</v>
      </c>
      <c r="AQ31" s="374">
        <f>+R6*R18</f>
        <v>-176907584.0974857</v>
      </c>
      <c r="AR31" s="375">
        <f t="shared" si="11"/>
        <v>-315644237.1863853</v>
      </c>
      <c r="AT31" s="373">
        <f>+Q45*Q57</f>
        <v>-158126108.00788984</v>
      </c>
      <c r="AU31" s="374">
        <f>+R45*R57</f>
        <v>-201631703.86191243</v>
      </c>
      <c r="AV31" s="375">
        <f t="shared" si="12"/>
        <v>-359757811.86980224</v>
      </c>
      <c r="AX31" s="373">
        <f>+Q74*Q86</f>
        <v>-146942909.61511138</v>
      </c>
      <c r="AY31" s="374">
        <f>+R74*R86</f>
        <v>-187371646.65207326</v>
      </c>
      <c r="AZ31" s="375">
        <f t="shared" si="13"/>
        <v>-334314556.2671846</v>
      </c>
      <c r="BA31" s="390"/>
      <c r="BB31" s="373">
        <f t="shared" si="14"/>
        <v>-1005148810.3839358</v>
      </c>
      <c r="BC31" s="374">
        <f t="shared" si="15"/>
        <v>-1078437097.5980358</v>
      </c>
      <c r="BD31" s="375">
        <f t="shared" si="16"/>
        <v>-2083585907.9819717</v>
      </c>
    </row>
    <row r="32" spans="1:56" ht="16.5" customHeight="1">
      <c r="A32" s="412" t="s">
        <v>16</v>
      </c>
      <c r="B32" s="413">
        <f>+'5-2012-BY'!I5</f>
        <v>905027.8</v>
      </c>
      <c r="C32" s="411">
        <f>+'5-2012-BY'!I4</f>
        <v>1190772.88</v>
      </c>
      <c r="D32" s="414">
        <f t="shared" si="2"/>
        <v>2095800.68</v>
      </c>
      <c r="E32" s="411"/>
      <c r="F32" s="412"/>
      <c r="G32" s="413">
        <f>+'6-2012-BY'!I5</f>
        <v>687689.93</v>
      </c>
      <c r="H32" s="411">
        <f>+'6-2012-BY'!I4</f>
        <v>915421.13</v>
      </c>
      <c r="I32" s="414">
        <f t="shared" si="3"/>
        <v>1603111.06</v>
      </c>
      <c r="J32" s="411"/>
      <c r="K32" s="412"/>
      <c r="L32" s="413">
        <f>+'7-2012-BY'!I5</f>
        <v>797180.53</v>
      </c>
      <c r="M32" s="411">
        <f>+'7-2012-BY'!I4</f>
        <v>1064105.99</v>
      </c>
      <c r="N32" s="414">
        <f t="shared" si="4"/>
        <v>1861286.52</v>
      </c>
      <c r="O32" s="411"/>
      <c r="P32" s="412"/>
      <c r="Q32" s="413">
        <f>+'8-2012-BY'!I5</f>
        <v>946425.96</v>
      </c>
      <c r="R32" s="411">
        <f>+'8-2012-BY'!I4</f>
        <v>1283689.56</v>
      </c>
      <c r="S32" s="414">
        <f t="shared" si="5"/>
        <v>2230115.52</v>
      </c>
      <c r="T32" s="411"/>
      <c r="U32" s="412"/>
      <c r="V32" s="413">
        <f>+'9-2012-BY'!I5</f>
        <v>856870.33</v>
      </c>
      <c r="W32" s="411">
        <f>+'9-2012-BY'!I4</f>
        <v>1145417.3</v>
      </c>
      <c r="X32" s="414">
        <f t="shared" si="6"/>
        <v>2002287.63</v>
      </c>
      <c r="Y32" s="376"/>
      <c r="Z32" s="377">
        <f>+'10-2012-BY'!I5</f>
        <v>890093.26</v>
      </c>
      <c r="AA32" s="378">
        <f>+'10-2012-BY'!I4</f>
        <v>1179221.16</v>
      </c>
      <c r="AB32" s="379">
        <f t="shared" si="7"/>
        <v>2069314.42</v>
      </c>
      <c r="AC32" s="394"/>
      <c r="AD32" s="377">
        <f>+L6*L19</f>
        <v>1249710238.1733758</v>
      </c>
      <c r="AE32" s="378">
        <f>+M6*M19</f>
        <v>954135617.5265607</v>
      </c>
      <c r="AF32" s="379">
        <f t="shared" si="8"/>
        <v>2203845855.6999364</v>
      </c>
      <c r="AG32" s="381"/>
      <c r="AH32" s="377">
        <f>+L45*L58</f>
        <v>1232894534.660554</v>
      </c>
      <c r="AI32" s="378">
        <f>+M45*M58</f>
        <v>941297072.1059833</v>
      </c>
      <c r="AJ32" s="379">
        <f t="shared" si="9"/>
        <v>2174191606.766537</v>
      </c>
      <c r="AK32" s="381"/>
      <c r="AL32" s="377">
        <f>+L74*L87</f>
        <v>1045646062.2338332</v>
      </c>
      <c r="AM32" s="378">
        <f>+M74*M87</f>
        <v>1333337042.3193324</v>
      </c>
      <c r="AN32" s="379">
        <f t="shared" si="10"/>
        <v>2378983104.5531654</v>
      </c>
      <c r="AO32" s="390"/>
      <c r="AP32" s="377">
        <f>+Q6*Q19</f>
        <v>977507181.754076</v>
      </c>
      <c r="AQ32" s="378">
        <f>+R6*R19</f>
        <v>1246450956.6282134</v>
      </c>
      <c r="AR32" s="379">
        <f t="shared" si="11"/>
        <v>2223958138.3822894</v>
      </c>
      <c r="AT32" s="377">
        <f>+Q45*Q58</f>
        <v>1080572621.323473</v>
      </c>
      <c r="AU32" s="378">
        <f>+R45*R58</f>
        <v>1377873025.0738466</v>
      </c>
      <c r="AV32" s="379">
        <f t="shared" si="12"/>
        <v>2458445646.39732</v>
      </c>
      <c r="AX32" s="377">
        <f>+Q74*Q87</f>
        <v>1055210579.9899514</v>
      </c>
      <c r="AY32" s="378">
        <f>+R74*R87</f>
        <v>1345533067.6062346</v>
      </c>
      <c r="AZ32" s="379">
        <f t="shared" si="13"/>
        <v>2400743647.5961857</v>
      </c>
      <c r="BA32" s="390"/>
      <c r="BB32" s="377">
        <f t="shared" si="14"/>
        <v>6646624505.945263</v>
      </c>
      <c r="BC32" s="378">
        <f t="shared" si="15"/>
        <v>7205405409.280171</v>
      </c>
      <c r="BD32" s="379">
        <f t="shared" si="16"/>
        <v>13852029915.225433</v>
      </c>
    </row>
    <row r="33" spans="1:56" ht="16.5" customHeight="1">
      <c r="A33" s="412" t="s">
        <v>35</v>
      </c>
      <c r="B33" s="413">
        <f>+'5-2012-BY'!L5</f>
        <v>522717.5</v>
      </c>
      <c r="C33" s="411">
        <f>+'5-2012-BY'!L4</f>
        <v>687755.47</v>
      </c>
      <c r="D33" s="414">
        <f t="shared" si="2"/>
        <v>1210472.97</v>
      </c>
      <c r="E33" s="411"/>
      <c r="F33" s="412"/>
      <c r="G33" s="413">
        <f>+'6-2012-BY'!L5</f>
        <v>579326.67</v>
      </c>
      <c r="H33" s="411">
        <f>+'6-2012-BY'!L4</f>
        <v>771172.95</v>
      </c>
      <c r="I33" s="414">
        <f t="shared" si="3"/>
        <v>1350499.62</v>
      </c>
      <c r="J33" s="411"/>
      <c r="K33" s="412"/>
      <c r="L33" s="413">
        <f>+'7-2012-BY'!L5</f>
        <v>551398.85</v>
      </c>
      <c r="M33" s="411">
        <f>+'7-2012-BY'!L4</f>
        <v>736027.53</v>
      </c>
      <c r="N33" s="414">
        <f t="shared" si="4"/>
        <v>1287426.38</v>
      </c>
      <c r="O33" s="411"/>
      <c r="P33" s="412"/>
      <c r="Q33" s="413">
        <f>+'8-2012-BY'!L5</f>
        <v>596063.81</v>
      </c>
      <c r="R33" s="411">
        <f>+'8-2012-BY'!L4</f>
        <v>808474.12</v>
      </c>
      <c r="S33" s="414">
        <f t="shared" si="5"/>
        <v>1404537.9300000002</v>
      </c>
      <c r="T33" s="411"/>
      <c r="U33" s="412"/>
      <c r="V33" s="413">
        <f>+'9-2012-BY'!L5</f>
        <v>536383.27</v>
      </c>
      <c r="W33" s="411">
        <f>+'9-2012-BY'!L4</f>
        <v>717007.76</v>
      </c>
      <c r="X33" s="414">
        <f t="shared" si="6"/>
        <v>1253391.03</v>
      </c>
      <c r="Y33" s="376"/>
      <c r="Z33" s="373">
        <f>+'10-2012-BY'!L5</f>
        <v>626568.77</v>
      </c>
      <c r="AA33" s="374">
        <f>+'10-2012-BY'!L4</f>
        <v>830096.34</v>
      </c>
      <c r="AB33" s="375">
        <f t="shared" si="7"/>
        <v>1456665.1099999999</v>
      </c>
      <c r="AC33" s="394"/>
      <c r="AD33" s="373">
        <f>+L20*L6</f>
        <v>687988309.0301591</v>
      </c>
      <c r="AE33" s="374">
        <f>+M6*M20</f>
        <v>525269082.41306746</v>
      </c>
      <c r="AF33" s="375">
        <f t="shared" si="8"/>
        <v>1213257391.4432266</v>
      </c>
      <c r="AG33" s="381"/>
      <c r="AH33" s="373">
        <f>+L59*L45</f>
        <v>831887351.1831943</v>
      </c>
      <c r="AI33" s="374">
        <f>+M45*M59</f>
        <v>635133911.2767959</v>
      </c>
      <c r="AJ33" s="375">
        <f t="shared" si="9"/>
        <v>1467021262.45999</v>
      </c>
      <c r="AK33" s="381"/>
      <c r="AL33" s="373">
        <f>+L88*L74</f>
        <v>684537040.058157</v>
      </c>
      <c r="AM33" s="374">
        <f>+M74*M88</f>
        <v>872875273.301671</v>
      </c>
      <c r="AN33" s="375">
        <f t="shared" si="10"/>
        <v>1557412313.359828</v>
      </c>
      <c r="AO33" s="390"/>
      <c r="AP33" s="373">
        <f>+Q20*Q6</f>
        <v>618603675.4506135</v>
      </c>
      <c r="AQ33" s="374">
        <f>+R6*R20</f>
        <v>788801512.0825284</v>
      </c>
      <c r="AR33" s="375">
        <f t="shared" si="11"/>
        <v>1407405187.5331419</v>
      </c>
      <c r="AT33" s="373">
        <f>+Q59*Q45</f>
        <v>702274052.9150703</v>
      </c>
      <c r="AU33" s="374">
        <f>+R45*R59</f>
        <v>895492310.8599573</v>
      </c>
      <c r="AV33" s="375">
        <f t="shared" si="12"/>
        <v>1597766363.7750278</v>
      </c>
      <c r="AX33" s="373">
        <f>+Q88*Q74</f>
        <v>635919328.3700141</v>
      </c>
      <c r="AY33" s="374">
        <f>+R74*R88</f>
        <v>810881259.9850445</v>
      </c>
      <c r="AZ33" s="375">
        <f t="shared" si="13"/>
        <v>1446800588.3550587</v>
      </c>
      <c r="BA33" s="390"/>
      <c r="BB33" s="373">
        <f t="shared" si="14"/>
        <v>4164622215.8772087</v>
      </c>
      <c r="BC33" s="374">
        <f t="shared" si="15"/>
        <v>4533003884.089064</v>
      </c>
      <c r="BD33" s="375">
        <f t="shared" si="16"/>
        <v>8697626099.966272</v>
      </c>
    </row>
    <row r="34" spans="1:56" ht="16.5" customHeight="1">
      <c r="A34" s="412" t="s">
        <v>36</v>
      </c>
      <c r="B34" s="413">
        <f>+'5-2012-BY'!R5</f>
        <v>498764.39</v>
      </c>
      <c r="C34" s="411">
        <f>+'5-2012-BY'!R4</f>
        <v>653271.01</v>
      </c>
      <c r="D34" s="414">
        <f t="shared" si="2"/>
        <v>1152035.4</v>
      </c>
      <c r="E34" s="411"/>
      <c r="F34" s="412"/>
      <c r="G34" s="413">
        <f>+'6-2012-BY'!R5</f>
        <v>488377.96</v>
      </c>
      <c r="H34" s="411">
        <f>+'6-2012-BY'!R4</f>
        <v>639667.04</v>
      </c>
      <c r="I34" s="414">
        <f t="shared" si="3"/>
        <v>1128045</v>
      </c>
      <c r="J34" s="411"/>
      <c r="K34" s="412"/>
      <c r="L34" s="413">
        <f>+'7-2012-BY'!R5</f>
        <v>498764.39</v>
      </c>
      <c r="M34" s="411">
        <f>+'7-2012-BY'!R4</f>
        <v>653271.01</v>
      </c>
      <c r="N34" s="414">
        <f t="shared" si="4"/>
        <v>1152035.4</v>
      </c>
      <c r="O34" s="411"/>
      <c r="P34" s="412"/>
      <c r="Q34" s="413">
        <f>+'8-2012-BY'!R5</f>
        <v>498764.39</v>
      </c>
      <c r="R34" s="411">
        <f>+'8-2012-BY'!R4</f>
        <v>653271.01</v>
      </c>
      <c r="S34" s="414">
        <f t="shared" si="5"/>
        <v>1152035.4</v>
      </c>
      <c r="T34" s="411"/>
      <c r="U34" s="412"/>
      <c r="V34" s="413">
        <f>+'9-2012-BY'!R5</f>
        <v>488377.96</v>
      </c>
      <c r="W34" s="411">
        <f>+'9-2012-BY'!R4</f>
        <v>639667.04</v>
      </c>
      <c r="X34" s="414">
        <f t="shared" si="6"/>
        <v>1128045</v>
      </c>
      <c r="Y34" s="376"/>
      <c r="Z34" s="377">
        <f>+'10-2012-BY'!R5</f>
        <v>498764.39</v>
      </c>
      <c r="AA34" s="378">
        <f>+'10-2012-BY'!R4</f>
        <v>653271.01</v>
      </c>
      <c r="AB34" s="379">
        <f t="shared" si="7"/>
        <v>1152035.4</v>
      </c>
      <c r="AC34" s="394"/>
      <c r="AD34" s="377">
        <f>+L21*L6</f>
        <v>639667870.5882354</v>
      </c>
      <c r="AE34" s="378">
        <f>+M21*M6</f>
        <v>488377129.4117647</v>
      </c>
      <c r="AF34" s="379">
        <f t="shared" si="8"/>
        <v>1128045000</v>
      </c>
      <c r="AG34" s="381"/>
      <c r="AH34" s="377">
        <f>+L60*L45</f>
        <v>653271838.5882351</v>
      </c>
      <c r="AI34" s="378">
        <f>+M60*M45</f>
        <v>498763561.41176474</v>
      </c>
      <c r="AJ34" s="379">
        <f t="shared" si="9"/>
        <v>1152035400</v>
      </c>
      <c r="AK34" s="381"/>
      <c r="AL34" s="377">
        <f>+L89*L74</f>
        <v>510205429.6744185</v>
      </c>
      <c r="AM34" s="378">
        <f>+M89*M74</f>
        <v>650579410.3255813</v>
      </c>
      <c r="AN34" s="379">
        <f t="shared" si="10"/>
        <v>1160784839.9999998</v>
      </c>
      <c r="AO34" s="390"/>
      <c r="AP34" s="377">
        <f>+Q21*Q6</f>
        <v>478199413.6744186</v>
      </c>
      <c r="AQ34" s="378">
        <f>+R21*R6</f>
        <v>609767506.3255814</v>
      </c>
      <c r="AR34" s="379">
        <f t="shared" si="11"/>
        <v>1087966920</v>
      </c>
      <c r="AT34" s="377">
        <f>+Q60*Q45</f>
        <v>510205429.6744185</v>
      </c>
      <c r="AU34" s="378">
        <f>+R60*R45</f>
        <v>650579410.3255813</v>
      </c>
      <c r="AV34" s="379">
        <f t="shared" si="12"/>
        <v>1160784839.9999998</v>
      </c>
      <c r="AX34" s="377">
        <f>+Q89*Q74</f>
        <v>499536757.6744185</v>
      </c>
      <c r="AY34" s="378">
        <f>+R89*R74</f>
        <v>636975442.3255814</v>
      </c>
      <c r="AZ34" s="379">
        <f t="shared" si="13"/>
        <v>1136512200</v>
      </c>
      <c r="BA34" s="390"/>
      <c r="BB34" s="377">
        <f t="shared" si="14"/>
        <v>3294058553.3541446</v>
      </c>
      <c r="BC34" s="378">
        <f t="shared" si="15"/>
        <v>3538934878.2458553</v>
      </c>
      <c r="BD34" s="379">
        <f t="shared" si="16"/>
        <v>6832993431.6</v>
      </c>
    </row>
    <row r="35" spans="1:56" ht="16.5" customHeight="1">
      <c r="A35" s="412" t="s">
        <v>70</v>
      </c>
      <c r="B35" s="413">
        <f>+'5-2012-BY'!D24</f>
        <v>0</v>
      </c>
      <c r="C35" s="411">
        <f>+'5-2012-BY'!D23</f>
        <v>0</v>
      </c>
      <c r="D35" s="414">
        <f t="shared" si="2"/>
        <v>0</v>
      </c>
      <c r="E35" s="411"/>
      <c r="F35" s="412"/>
      <c r="G35" s="413">
        <f>+'6-2012-BY'!D24</f>
        <v>0</v>
      </c>
      <c r="H35" s="411">
        <f>+'6-2012-BY'!D23</f>
        <v>0</v>
      </c>
      <c r="I35" s="414">
        <f t="shared" si="3"/>
        <v>0</v>
      </c>
      <c r="J35" s="411"/>
      <c r="K35" s="412"/>
      <c r="L35" s="413">
        <f>+'7-2012-BY'!D24</f>
        <v>0</v>
      </c>
      <c r="M35" s="411">
        <f>+'7-2012-BY'!D23</f>
        <v>0</v>
      </c>
      <c r="N35" s="414">
        <f t="shared" si="4"/>
        <v>0</v>
      </c>
      <c r="O35" s="411"/>
      <c r="P35" s="412"/>
      <c r="Q35" s="413">
        <f>+'8-2012-BY'!D24</f>
        <v>-31370.64</v>
      </c>
      <c r="R35" s="411">
        <f>+'8-2012-BY'!D23</f>
        <v>0</v>
      </c>
      <c r="S35" s="414">
        <f t="shared" si="5"/>
        <v>-31370.64</v>
      </c>
      <c r="T35" s="411"/>
      <c r="U35" s="412"/>
      <c r="V35" s="413">
        <f>+'9-2012-BY'!D24</f>
        <v>-55164.56</v>
      </c>
      <c r="W35" s="411">
        <f>+'9-2012-BY'!D23</f>
        <v>0</v>
      </c>
      <c r="X35" s="414">
        <f t="shared" si="6"/>
        <v>-55164.56</v>
      </c>
      <c r="Y35" s="376"/>
      <c r="Z35" s="373">
        <f>+'10-2012-BY'!D24</f>
        <v>0</v>
      </c>
      <c r="AA35" s="374">
        <f>+'10-2012-BY'!D23</f>
        <v>0</v>
      </c>
      <c r="AB35" s="375">
        <f t="shared" si="7"/>
        <v>0</v>
      </c>
      <c r="AC35" s="394"/>
      <c r="AD35" s="373">
        <v>0</v>
      </c>
      <c r="AE35" s="374">
        <v>0</v>
      </c>
      <c r="AF35" s="375">
        <f t="shared" si="8"/>
        <v>0</v>
      </c>
      <c r="AG35" s="381"/>
      <c r="AH35" s="373">
        <v>0</v>
      </c>
      <c r="AI35" s="374">
        <v>0</v>
      </c>
      <c r="AJ35" s="375">
        <f t="shared" si="9"/>
        <v>0</v>
      </c>
      <c r="AK35" s="381"/>
      <c r="AL35" s="373">
        <v>0</v>
      </c>
      <c r="AM35" s="374">
        <v>0</v>
      </c>
      <c r="AN35" s="375">
        <f t="shared" si="10"/>
        <v>0</v>
      </c>
      <c r="AO35" s="390"/>
      <c r="AP35" s="373">
        <v>0</v>
      </c>
      <c r="AQ35" s="374">
        <v>0</v>
      </c>
      <c r="AR35" s="375">
        <f t="shared" si="11"/>
        <v>0</v>
      </c>
      <c r="AT35" s="373">
        <v>0</v>
      </c>
      <c r="AU35" s="374">
        <v>0</v>
      </c>
      <c r="AV35" s="375">
        <f t="shared" si="12"/>
        <v>0</v>
      </c>
      <c r="AX35" s="373">
        <v>0</v>
      </c>
      <c r="AY35" s="374">
        <v>0</v>
      </c>
      <c r="AZ35" s="375">
        <f t="shared" si="13"/>
        <v>0</v>
      </c>
      <c r="BA35" s="390"/>
      <c r="BB35" s="373">
        <f t="shared" si="14"/>
        <v>-86535.2</v>
      </c>
      <c r="BC35" s="374">
        <f t="shared" si="15"/>
        <v>0</v>
      </c>
      <c r="BD35" s="375">
        <f t="shared" si="16"/>
        <v>-86535.2</v>
      </c>
    </row>
    <row r="36" spans="1:56" ht="16.5" customHeight="1">
      <c r="A36" s="412" t="s">
        <v>80</v>
      </c>
      <c r="B36" s="413">
        <f>+'5-2012-BY'!F24</f>
        <v>0</v>
      </c>
      <c r="C36" s="411">
        <f>+'5-2012-BY'!F23</f>
        <v>5449.03</v>
      </c>
      <c r="D36" s="414">
        <f t="shared" si="2"/>
        <v>5449.03</v>
      </c>
      <c r="E36" s="411"/>
      <c r="F36" s="412"/>
      <c r="G36" s="413">
        <f>+'6-2012-BY'!F24</f>
        <v>0</v>
      </c>
      <c r="H36" s="411">
        <f>+'6-2012-BY'!F23</f>
        <v>1085.8</v>
      </c>
      <c r="I36" s="414">
        <f t="shared" si="3"/>
        <v>1085.8</v>
      </c>
      <c r="J36" s="411"/>
      <c r="K36" s="412"/>
      <c r="L36" s="413">
        <v>0</v>
      </c>
      <c r="M36" s="411">
        <v>0</v>
      </c>
      <c r="N36" s="414">
        <f t="shared" si="4"/>
        <v>0</v>
      </c>
      <c r="O36" s="411"/>
      <c r="P36" s="412"/>
      <c r="Q36" s="413">
        <v>0</v>
      </c>
      <c r="R36" s="411">
        <v>0</v>
      </c>
      <c r="S36" s="414">
        <f t="shared" si="5"/>
        <v>0</v>
      </c>
      <c r="T36" s="411"/>
      <c r="U36" s="412"/>
      <c r="V36" s="413">
        <v>0</v>
      </c>
      <c r="W36" s="411">
        <v>0</v>
      </c>
      <c r="X36" s="414">
        <f t="shared" si="6"/>
        <v>0</v>
      </c>
      <c r="Y36" s="376"/>
      <c r="Z36" s="377">
        <v>0</v>
      </c>
      <c r="AA36" s="378">
        <v>0</v>
      </c>
      <c r="AB36" s="379">
        <f t="shared" si="7"/>
        <v>0</v>
      </c>
      <c r="AC36" s="381"/>
      <c r="AD36" s="377">
        <v>0</v>
      </c>
      <c r="AE36" s="378">
        <v>0</v>
      </c>
      <c r="AF36" s="379">
        <f t="shared" si="8"/>
        <v>0</v>
      </c>
      <c r="AG36" s="381"/>
      <c r="AH36" s="377">
        <v>0</v>
      </c>
      <c r="AI36" s="378">
        <v>0</v>
      </c>
      <c r="AJ36" s="379">
        <f t="shared" si="9"/>
        <v>0</v>
      </c>
      <c r="AK36" s="381"/>
      <c r="AL36" s="377">
        <v>0</v>
      </c>
      <c r="AM36" s="378">
        <v>0</v>
      </c>
      <c r="AN36" s="379">
        <f t="shared" si="10"/>
        <v>0</v>
      </c>
      <c r="AO36" s="390"/>
      <c r="AP36" s="377">
        <v>0</v>
      </c>
      <c r="AQ36" s="378">
        <v>0</v>
      </c>
      <c r="AR36" s="379">
        <f t="shared" si="11"/>
        <v>0</v>
      </c>
      <c r="AT36" s="377">
        <v>0</v>
      </c>
      <c r="AU36" s="378">
        <v>0</v>
      </c>
      <c r="AV36" s="379">
        <f t="shared" si="12"/>
        <v>0</v>
      </c>
      <c r="AX36" s="377">
        <v>0</v>
      </c>
      <c r="AY36" s="378">
        <v>0</v>
      </c>
      <c r="AZ36" s="379">
        <f t="shared" si="13"/>
        <v>0</v>
      </c>
      <c r="BA36" s="390"/>
      <c r="BB36" s="377">
        <f t="shared" si="14"/>
        <v>0</v>
      </c>
      <c r="BC36" s="378">
        <f t="shared" si="15"/>
        <v>6534.83</v>
      </c>
      <c r="BD36" s="379">
        <f t="shared" si="16"/>
        <v>6534.83</v>
      </c>
    </row>
    <row r="37" spans="1:56" ht="16.5" customHeight="1">
      <c r="A37" s="419" t="s">
        <v>81</v>
      </c>
      <c r="B37" s="430">
        <v>0</v>
      </c>
      <c r="C37" s="431">
        <v>0</v>
      </c>
      <c r="D37" s="432">
        <f t="shared" si="2"/>
        <v>0</v>
      </c>
      <c r="E37" s="411"/>
      <c r="F37" s="419"/>
      <c r="G37" s="430">
        <v>0</v>
      </c>
      <c r="H37" s="431">
        <v>0</v>
      </c>
      <c r="I37" s="432">
        <f t="shared" si="3"/>
        <v>0</v>
      </c>
      <c r="J37" s="411"/>
      <c r="K37" s="412"/>
      <c r="L37" s="430">
        <v>0</v>
      </c>
      <c r="M37" s="431">
        <v>0</v>
      </c>
      <c r="N37" s="432">
        <f t="shared" si="4"/>
        <v>0</v>
      </c>
      <c r="O37" s="411"/>
      <c r="P37" s="412"/>
      <c r="Q37" s="430">
        <v>0</v>
      </c>
      <c r="R37" s="431">
        <v>0</v>
      </c>
      <c r="S37" s="432">
        <f t="shared" si="5"/>
        <v>0</v>
      </c>
      <c r="T37" s="411"/>
      <c r="U37" s="412"/>
      <c r="V37" s="430">
        <v>0</v>
      </c>
      <c r="W37" s="431">
        <v>0</v>
      </c>
      <c r="X37" s="432">
        <f t="shared" si="6"/>
        <v>0</v>
      </c>
      <c r="Y37" s="376"/>
      <c r="Z37" s="383">
        <f>+'10-2012-BY'!G24</f>
        <v>3872.17</v>
      </c>
      <c r="AA37" s="384">
        <f>+'10-2012-BY'!G23</f>
        <v>404.22</v>
      </c>
      <c r="AB37" s="385">
        <f t="shared" si="7"/>
        <v>4276.39</v>
      </c>
      <c r="AC37" s="381"/>
      <c r="AD37" s="383">
        <v>0</v>
      </c>
      <c r="AE37" s="384">
        <v>0</v>
      </c>
      <c r="AF37" s="385">
        <f aca="true" t="shared" si="17" ref="AF37">SUM(AD37:AE37)</f>
        <v>0</v>
      </c>
      <c r="AG37" s="381"/>
      <c r="AH37" s="383">
        <v>0</v>
      </c>
      <c r="AI37" s="384">
        <v>0</v>
      </c>
      <c r="AJ37" s="385">
        <f aca="true" t="shared" si="18" ref="AJ37">SUM(AH37:AI37)</f>
        <v>0</v>
      </c>
      <c r="AK37" s="381"/>
      <c r="AL37" s="383">
        <v>0</v>
      </c>
      <c r="AM37" s="384">
        <v>0</v>
      </c>
      <c r="AN37" s="385">
        <f aca="true" t="shared" si="19" ref="AN37">SUM(AL37:AM37)</f>
        <v>0</v>
      </c>
      <c r="AO37" s="390"/>
      <c r="AP37" s="383">
        <v>0</v>
      </c>
      <c r="AQ37" s="384">
        <v>0</v>
      </c>
      <c r="AR37" s="385">
        <f aca="true" t="shared" si="20" ref="AR37">SUM(AP37:AQ37)</f>
        <v>0</v>
      </c>
      <c r="AT37" s="383">
        <v>0</v>
      </c>
      <c r="AU37" s="384">
        <v>0</v>
      </c>
      <c r="AV37" s="385">
        <f aca="true" t="shared" si="21" ref="AV37">SUM(AT37:AU37)</f>
        <v>0</v>
      </c>
      <c r="AX37" s="383">
        <v>0</v>
      </c>
      <c r="AY37" s="384">
        <v>0</v>
      </c>
      <c r="AZ37" s="385">
        <f aca="true" t="shared" si="22" ref="AZ37">SUM(AX37:AY37)</f>
        <v>0</v>
      </c>
      <c r="BA37" s="390"/>
      <c r="BB37" s="383">
        <f t="shared" si="14"/>
        <v>3872.17</v>
      </c>
      <c r="BC37" s="384">
        <f t="shared" si="15"/>
        <v>404.22</v>
      </c>
      <c r="BD37" s="385">
        <f aca="true" t="shared" si="23" ref="BD37">SUM(BB37:BC37)</f>
        <v>4276.39</v>
      </c>
    </row>
    <row r="38" spans="1:56" ht="17.25" customHeight="1" thickBot="1">
      <c r="A38" s="412" t="s">
        <v>79</v>
      </c>
      <c r="B38" s="420">
        <f>SUM(B27:B37)</f>
        <v>13271471.21</v>
      </c>
      <c r="C38" s="421">
        <f>SUM(C27:C37)</f>
        <v>17439754.36</v>
      </c>
      <c r="D38" s="422">
        <f>SUM(D27:D37)</f>
        <v>30711225.569999997</v>
      </c>
      <c r="E38" s="411"/>
      <c r="F38" s="412"/>
      <c r="G38" s="420">
        <f>SUM(G28:G37)</f>
        <v>2455011.35</v>
      </c>
      <c r="H38" s="421">
        <f>SUM(H28:H37)</f>
        <v>3438041.4799999995</v>
      </c>
      <c r="I38" s="422">
        <f>SUM(I28:I37)</f>
        <v>5893052.83</v>
      </c>
      <c r="J38" s="411"/>
      <c r="K38" s="412"/>
      <c r="L38" s="420">
        <f>SUM(L28:L37)</f>
        <v>2506120.8600000003</v>
      </c>
      <c r="M38" s="421">
        <f>SUM(M28:M37)</f>
        <v>3587019.0199999996</v>
      </c>
      <c r="N38" s="422">
        <f>SUM(N28:N37)</f>
        <v>6093139.880000001</v>
      </c>
      <c r="O38" s="411"/>
      <c r="P38" s="412"/>
      <c r="Q38" s="420">
        <f>SUM(Q28:Q37)</f>
        <v>2605850.44</v>
      </c>
      <c r="R38" s="421">
        <f>SUM(R28:R37)</f>
        <v>3844471.9699999997</v>
      </c>
      <c r="S38" s="422">
        <f>SUM(S28:S37)</f>
        <v>6450322.410000001</v>
      </c>
      <c r="T38" s="411"/>
      <c r="U38" s="412"/>
      <c r="V38" s="420">
        <f>SUM(V28:V37)</f>
        <v>2439926</v>
      </c>
      <c r="W38" s="421">
        <f>SUM(W28:W37)</f>
        <v>3457368.3499999996</v>
      </c>
      <c r="X38" s="422">
        <f>SUM(X28:X37)</f>
        <v>5897294.350000001</v>
      </c>
      <c r="Y38" s="376"/>
      <c r="Z38" s="387">
        <f>SUM(Z27:Z37)</f>
        <v>2717920.8000000003</v>
      </c>
      <c r="AA38" s="388">
        <f>SUM(AA27:AA37)</f>
        <v>3674995.3299999996</v>
      </c>
      <c r="AB38" s="389">
        <f>SUM(AB27:AB37)</f>
        <v>6392916.13</v>
      </c>
      <c r="AC38" s="381"/>
      <c r="AD38" s="387">
        <f>SUM(AD27:AD37)</f>
        <v>3390225155.686741</v>
      </c>
      <c r="AE38" s="388">
        <f>SUM(AE27:AE37)</f>
        <v>2588387670.731785</v>
      </c>
      <c r="AF38" s="389">
        <f>SUM(AF27:AF37)</f>
        <v>5978612826.418526</v>
      </c>
      <c r="AG38" s="381"/>
      <c r="AH38" s="387">
        <f>SUM(AH27:AH37)</f>
        <v>3547877940.573905</v>
      </c>
      <c r="AI38" s="388">
        <f>SUM(AI27:AI37)</f>
        <v>2708753282.42987</v>
      </c>
      <c r="AJ38" s="389">
        <f>SUM(AJ27:AJ37)</f>
        <v>6256631223.003776</v>
      </c>
      <c r="AK38" s="381"/>
      <c r="AL38" s="387">
        <f>SUM(AL27:AL37)</f>
        <v>2890132617.4274807</v>
      </c>
      <c r="AM38" s="388">
        <f>SUM(AM27:AM37)</f>
        <v>3685301379.8943014</v>
      </c>
      <c r="AN38" s="389">
        <f>SUM(AN27:AN37)</f>
        <v>6575433997.321782</v>
      </c>
      <c r="AO38" s="393"/>
      <c r="AP38" s="387">
        <f>SUM(AP27:AP37)</f>
        <v>2669933873.7902083</v>
      </c>
      <c r="AQ38" s="388">
        <f>SUM(AQ27:AQ37)</f>
        <v>3404518854.938838</v>
      </c>
      <c r="AR38" s="389">
        <f>SUM(AR27:AR37)</f>
        <v>6074452728.729046</v>
      </c>
      <c r="AT38" s="387">
        <f>SUM(AT27:AT37)</f>
        <v>2947967707.9050717</v>
      </c>
      <c r="AU38" s="388">
        <f>SUM(AU27:AU37)</f>
        <v>3759048770.3974724</v>
      </c>
      <c r="AV38" s="389">
        <f>SUM(AV27:AV37)</f>
        <v>6707016478.302546</v>
      </c>
      <c r="AX38" s="387">
        <f>SUM(AX27:AX37)</f>
        <v>2830538316.4192724</v>
      </c>
      <c r="AY38" s="388">
        <f>SUM(AY27:AY37)</f>
        <v>3609310763.2647877</v>
      </c>
      <c r="AZ38" s="389">
        <f>SUM(AZ27:AZ37)</f>
        <v>6439849079.684059</v>
      </c>
      <c r="BA38" s="390"/>
      <c r="BB38" s="387">
        <f>SUM(BB27:BB37)</f>
        <v>18292102402.29268</v>
      </c>
      <c r="BC38" s="388">
        <f>SUM(BC27:BC37)</f>
        <v>19776918611.557056</v>
      </c>
      <c r="BD38" s="389">
        <f>SUM(BD27:BD37)</f>
        <v>38069021013.84974</v>
      </c>
    </row>
    <row r="39" spans="1:25" ht="12.75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376"/>
    </row>
    <row r="40" spans="1:27" ht="12.75">
      <c r="A40" s="412"/>
      <c r="B40" s="498">
        <v>41061</v>
      </c>
      <c r="C40" s="499"/>
      <c r="D40" s="500"/>
      <c r="E40" s="405"/>
      <c r="F40" s="412"/>
      <c r="G40" s="498">
        <v>41153</v>
      </c>
      <c r="H40" s="499"/>
      <c r="I40" s="500"/>
      <c r="J40" s="405"/>
      <c r="K40" s="412"/>
      <c r="L40" s="501">
        <v>41244</v>
      </c>
      <c r="M40" s="499"/>
      <c r="N40" s="500"/>
      <c r="O40" s="405"/>
      <c r="P40" s="412"/>
      <c r="Q40" s="501">
        <v>41334</v>
      </c>
      <c r="R40" s="499"/>
      <c r="S40" s="500"/>
      <c r="T40" s="405"/>
      <c r="U40" s="412"/>
      <c r="V40" s="412"/>
      <c r="W40" s="412"/>
      <c r="X40" s="412"/>
      <c r="Y40" s="376"/>
      <c r="Z40" s="400"/>
      <c r="AA40" s="400"/>
    </row>
    <row r="41" spans="1:25" ht="12.75">
      <c r="A41" s="412"/>
      <c r="B41" s="423" t="s">
        <v>42</v>
      </c>
      <c r="C41" s="424" t="s">
        <v>43</v>
      </c>
      <c r="D41" s="425" t="s">
        <v>33</v>
      </c>
      <c r="E41" s="405"/>
      <c r="F41" s="412"/>
      <c r="G41" s="423" t="s">
        <v>42</v>
      </c>
      <c r="H41" s="424" t="s">
        <v>43</v>
      </c>
      <c r="I41" s="425" t="s">
        <v>33</v>
      </c>
      <c r="J41" s="405"/>
      <c r="K41" s="412"/>
      <c r="L41" s="426" t="s">
        <v>42</v>
      </c>
      <c r="M41" s="405" t="s">
        <v>43</v>
      </c>
      <c r="N41" s="427" t="s">
        <v>33</v>
      </c>
      <c r="O41" s="405"/>
      <c r="P41" s="412"/>
      <c r="Q41" s="426" t="s">
        <v>42</v>
      </c>
      <c r="R41" s="405" t="s">
        <v>43</v>
      </c>
      <c r="S41" s="427" t="s">
        <v>33</v>
      </c>
      <c r="T41" s="405"/>
      <c r="U41" s="412"/>
      <c r="V41" s="412"/>
      <c r="W41" s="412"/>
      <c r="X41" s="412"/>
      <c r="Y41" s="376"/>
    </row>
    <row r="42" spans="1:25" ht="12.75">
      <c r="A42" s="409" t="s">
        <v>60</v>
      </c>
      <c r="B42" s="428"/>
      <c r="C42" s="410"/>
      <c r="D42" s="429"/>
      <c r="E42" s="410"/>
      <c r="F42" s="409" t="s">
        <v>60</v>
      </c>
      <c r="G42" s="428"/>
      <c r="H42" s="410"/>
      <c r="I42" s="429"/>
      <c r="J42" s="410"/>
      <c r="K42" s="409" t="s">
        <v>60</v>
      </c>
      <c r="L42" s="428"/>
      <c r="M42" s="410"/>
      <c r="N42" s="429"/>
      <c r="O42" s="410"/>
      <c r="P42" s="409" t="s">
        <v>60</v>
      </c>
      <c r="Q42" s="428"/>
      <c r="R42" s="410"/>
      <c r="S42" s="429"/>
      <c r="T42" s="410"/>
      <c r="U42" s="412"/>
      <c r="V42" s="412"/>
      <c r="W42" s="412"/>
      <c r="X42" s="412"/>
      <c r="Y42" s="376"/>
    </row>
    <row r="43" spans="1:25" ht="12.75">
      <c r="A43" s="412" t="s">
        <v>61</v>
      </c>
      <c r="B43" s="413">
        <f>+'6-2012-BY'!B10</f>
        <v>259660800</v>
      </c>
      <c r="C43" s="411">
        <f>+'6-2012-BY'!B9</f>
        <v>340099200</v>
      </c>
      <c r="D43" s="414">
        <f>SUM(B43:C43)</f>
        <v>599760000</v>
      </c>
      <c r="E43" s="411"/>
      <c r="F43" s="412" t="s">
        <v>61</v>
      </c>
      <c r="G43" s="413">
        <f>+'9-2012-BY'!B10</f>
        <v>259660800</v>
      </c>
      <c r="H43" s="411">
        <f>+'9-2012-BY'!B9</f>
        <v>340099200</v>
      </c>
      <c r="I43" s="414">
        <f>SUM(G43:H43)</f>
        <v>599760000</v>
      </c>
      <c r="J43" s="411"/>
      <c r="K43" s="412" t="s">
        <v>61</v>
      </c>
      <c r="L43" s="413">
        <f>+'[1]Stmts RUS'!R9*1000000000</f>
        <v>351435839.99999994</v>
      </c>
      <c r="M43" s="411">
        <f>+'[1]Stmts RUS'!R10*1000000000</f>
        <v>268316160.00000003</v>
      </c>
      <c r="N43" s="414">
        <f>SUM(L43:M43)</f>
        <v>619752000</v>
      </c>
      <c r="O43" s="411"/>
      <c r="P43" s="412" t="s">
        <v>61</v>
      </c>
      <c r="Q43" s="413">
        <f>+'[2]Stmts RUS'!$I$10*1000000000</f>
        <v>275607359.99999994</v>
      </c>
      <c r="R43" s="411">
        <f>+'[2]Stmts RUS'!$I$9*1000000000</f>
        <v>351435839.99999994</v>
      </c>
      <c r="S43" s="414">
        <f>SUM(Q43:R43)</f>
        <v>627043199.9999999</v>
      </c>
      <c r="T43" s="411"/>
      <c r="U43" s="412"/>
      <c r="V43" s="412"/>
      <c r="W43" s="412"/>
      <c r="X43" s="412"/>
      <c r="Y43" s="376"/>
    </row>
    <row r="44" spans="1:25" ht="12.75">
      <c r="A44" s="412" t="s">
        <v>62</v>
      </c>
      <c r="B44" s="430">
        <f>+'6-2012-BY'!B17/1000</f>
        <v>827.811</v>
      </c>
      <c r="C44" s="431">
        <f>+'6-2012-BY'!B16/1000</f>
        <v>6651.229</v>
      </c>
      <c r="D44" s="432">
        <f>SUM(B44:C44)</f>
        <v>7479.04</v>
      </c>
      <c r="E44" s="411"/>
      <c r="F44" s="412" t="s">
        <v>62</v>
      </c>
      <c r="G44" s="430">
        <f>+'9-2012-BY'!B17/1000</f>
        <v>-1411.756</v>
      </c>
      <c r="H44" s="431">
        <f>+'9-2012-BY'!B16/1000</f>
        <v>5113.971</v>
      </c>
      <c r="I44" s="432">
        <f>SUM(G44:H44)</f>
        <v>3702.2149999999992</v>
      </c>
      <c r="J44" s="411"/>
      <c r="K44" s="412" t="s">
        <v>62</v>
      </c>
      <c r="L44" s="430">
        <v>0</v>
      </c>
      <c r="M44" s="431">
        <v>0</v>
      </c>
      <c r="N44" s="432">
        <f>SUM(L44:M44)</f>
        <v>0</v>
      </c>
      <c r="O44" s="411"/>
      <c r="P44" s="412" t="s">
        <v>62</v>
      </c>
      <c r="Q44" s="430">
        <v>0</v>
      </c>
      <c r="R44" s="431">
        <v>0</v>
      </c>
      <c r="S44" s="432">
        <f>SUM(Q44:R44)</f>
        <v>0</v>
      </c>
      <c r="T44" s="411"/>
      <c r="U44" s="412"/>
      <c r="V44" s="412"/>
      <c r="W44" s="412"/>
      <c r="X44" s="412"/>
      <c r="Y44" s="376"/>
    </row>
    <row r="45" spans="1:25" ht="12.75">
      <c r="A45" s="412" t="s">
        <v>63</v>
      </c>
      <c r="B45" s="413">
        <f>SUM(B43:B44)</f>
        <v>259661627.811</v>
      </c>
      <c r="C45" s="411">
        <f>SUM(C43:C44)</f>
        <v>340105851.229</v>
      </c>
      <c r="D45" s="414">
        <f>SUM(D43:D44)</f>
        <v>599767479.04</v>
      </c>
      <c r="E45" s="411"/>
      <c r="F45" s="412" t="s">
        <v>63</v>
      </c>
      <c r="G45" s="413">
        <f>SUM(G43:G44)</f>
        <v>259659388.244</v>
      </c>
      <c r="H45" s="411">
        <f>SUM(H43:H44)</f>
        <v>340104313.971</v>
      </c>
      <c r="I45" s="414">
        <f>SUM(I43:I44)</f>
        <v>599763702.215</v>
      </c>
      <c r="J45" s="411"/>
      <c r="K45" s="412" t="s">
        <v>63</v>
      </c>
      <c r="L45" s="413">
        <f>SUM(L43:L44)</f>
        <v>351435839.99999994</v>
      </c>
      <c r="M45" s="411">
        <f>SUM(M43:M44)</f>
        <v>268316160.00000003</v>
      </c>
      <c r="N45" s="414">
        <f>SUM(N43:N44)</f>
        <v>619752000</v>
      </c>
      <c r="O45" s="411"/>
      <c r="P45" s="412" t="s">
        <v>63</v>
      </c>
      <c r="Q45" s="413">
        <f>SUM(Q43:Q44)</f>
        <v>275607359.99999994</v>
      </c>
      <c r="R45" s="411">
        <f>SUM(R43:R44)</f>
        <v>351435839.99999994</v>
      </c>
      <c r="S45" s="414">
        <f>SUM(S43:S44)</f>
        <v>627043199.9999999</v>
      </c>
      <c r="T45" s="411"/>
      <c r="U45" s="412"/>
      <c r="V45" s="412"/>
      <c r="W45" s="412"/>
      <c r="X45" s="412"/>
      <c r="Y45" s="376"/>
    </row>
    <row r="46" spans="1:24" ht="12.75">
      <c r="A46" s="412" t="s">
        <v>65</v>
      </c>
      <c r="B46" s="413">
        <f>+'6-2012-BY'!D5/1000</f>
        <v>399.991</v>
      </c>
      <c r="C46" s="411">
        <f>+'6-2012-BY'!D4/1000</f>
        <v>2735.984</v>
      </c>
      <c r="D46" s="414">
        <f>SUM(B46:C46)</f>
        <v>3135.975</v>
      </c>
      <c r="E46" s="411"/>
      <c r="F46" s="412" t="s">
        <v>65</v>
      </c>
      <c r="G46" s="413">
        <f>+'9-2012-BY'!D5/1000</f>
        <v>296.598</v>
      </c>
      <c r="H46" s="411">
        <f>+'9-2012-BY'!D4/1000</f>
        <v>594.822</v>
      </c>
      <c r="I46" s="414">
        <f>SUM(G46:H46)</f>
        <v>891.4200000000001</v>
      </c>
      <c r="J46" s="411"/>
      <c r="K46" s="412" t="s">
        <v>65</v>
      </c>
      <c r="L46" s="413">
        <v>0</v>
      </c>
      <c r="M46" s="411">
        <v>0</v>
      </c>
      <c r="N46" s="414">
        <f>SUM(L46:M46)</f>
        <v>0</v>
      </c>
      <c r="O46" s="411"/>
      <c r="P46" s="412" t="s">
        <v>65</v>
      </c>
      <c r="Q46" s="413">
        <v>0</v>
      </c>
      <c r="R46" s="411">
        <v>0</v>
      </c>
      <c r="S46" s="414">
        <f>SUM(Q46:R46)</f>
        <v>0</v>
      </c>
      <c r="T46" s="411"/>
      <c r="U46" s="406"/>
      <c r="V46" s="406"/>
      <c r="W46" s="406"/>
      <c r="X46" s="406"/>
    </row>
    <row r="47" spans="1:24" ht="12.75">
      <c r="A47" s="412" t="s">
        <v>66</v>
      </c>
      <c r="B47" s="413">
        <f>+'6-2012-BY'!E5/1000</f>
        <v>0</v>
      </c>
      <c r="C47" s="411">
        <f>+'6-2012-BY'!E4/1000</f>
        <v>0</v>
      </c>
      <c r="D47" s="414">
        <f>SUM(B47:C47)</f>
        <v>0</v>
      </c>
      <c r="E47" s="411"/>
      <c r="F47" s="412" t="s">
        <v>66</v>
      </c>
      <c r="G47" s="413">
        <f>+'9-2012-BY'!E5/1000</f>
        <v>-1609.798</v>
      </c>
      <c r="H47" s="411">
        <f>+'9-2012-BY'!E4/1000</f>
        <v>0</v>
      </c>
      <c r="I47" s="414">
        <f>SUM(G47:H47)</f>
        <v>-1609.798</v>
      </c>
      <c r="J47" s="411"/>
      <c r="K47" s="412" t="s">
        <v>66</v>
      </c>
      <c r="L47" s="413">
        <v>0</v>
      </c>
      <c r="M47" s="411">
        <v>0</v>
      </c>
      <c r="N47" s="414">
        <f>SUM(L47:M47)</f>
        <v>0</v>
      </c>
      <c r="O47" s="411"/>
      <c r="P47" s="412" t="s">
        <v>66</v>
      </c>
      <c r="Q47" s="413">
        <v>0</v>
      </c>
      <c r="R47" s="411">
        <v>0</v>
      </c>
      <c r="S47" s="414">
        <f>SUM(Q47:R47)</f>
        <v>0</v>
      </c>
      <c r="T47" s="411"/>
      <c r="U47" s="406"/>
      <c r="V47" s="406"/>
      <c r="W47" s="406"/>
      <c r="X47" s="406"/>
    </row>
    <row r="48" spans="1:24" ht="12.75">
      <c r="A48" s="412" t="s">
        <v>64</v>
      </c>
      <c r="B48" s="413">
        <f>+'6-2012-BY'!C5/1000</f>
        <v>0</v>
      </c>
      <c r="C48" s="411">
        <f>+'6-2012-BY'!C4/1000</f>
        <v>32</v>
      </c>
      <c r="D48" s="414">
        <f>SUM(B48:C48)</f>
        <v>32</v>
      </c>
      <c r="E48" s="411"/>
      <c r="F48" s="412" t="s">
        <v>64</v>
      </c>
      <c r="G48" s="413">
        <v>0</v>
      </c>
      <c r="H48" s="411">
        <v>0</v>
      </c>
      <c r="I48" s="414">
        <f>SUM(G48:H48)</f>
        <v>0</v>
      </c>
      <c r="J48" s="411"/>
      <c r="K48" s="412" t="s">
        <v>64</v>
      </c>
      <c r="L48" s="413">
        <v>0</v>
      </c>
      <c r="M48" s="411">
        <v>0</v>
      </c>
      <c r="N48" s="414">
        <f>SUM(L48:M48)</f>
        <v>0</v>
      </c>
      <c r="O48" s="411"/>
      <c r="P48" s="412" t="s">
        <v>64</v>
      </c>
      <c r="Q48" s="413">
        <v>0</v>
      </c>
      <c r="R48" s="411">
        <v>0</v>
      </c>
      <c r="S48" s="414">
        <f>SUM(Q48:R48)</f>
        <v>0</v>
      </c>
      <c r="T48" s="411"/>
      <c r="U48" s="406"/>
      <c r="V48" s="406"/>
      <c r="W48" s="406"/>
      <c r="X48" s="406"/>
    </row>
    <row r="49" spans="1:24" ht="12.75">
      <c r="A49" s="406"/>
      <c r="B49" s="430"/>
      <c r="C49" s="431"/>
      <c r="D49" s="432"/>
      <c r="E49" s="411"/>
      <c r="F49" s="406"/>
      <c r="G49" s="430"/>
      <c r="H49" s="431"/>
      <c r="I49" s="432"/>
      <c r="J49" s="411"/>
      <c r="K49" s="406"/>
      <c r="L49" s="430"/>
      <c r="M49" s="431"/>
      <c r="N49" s="432"/>
      <c r="O49" s="411"/>
      <c r="P49" s="406"/>
      <c r="Q49" s="430"/>
      <c r="R49" s="431"/>
      <c r="S49" s="432"/>
      <c r="T49" s="411"/>
      <c r="U49" s="406"/>
      <c r="V49" s="406"/>
      <c r="W49" s="406"/>
      <c r="X49" s="406"/>
    </row>
    <row r="50" spans="1:24" ht="12.75">
      <c r="A50" s="412" t="s">
        <v>76</v>
      </c>
      <c r="B50" s="413">
        <f>SUM(B45:B49)</f>
        <v>259662027.802</v>
      </c>
      <c r="C50" s="411">
        <f>SUM(C45:C49)</f>
        <v>340108619.213</v>
      </c>
      <c r="D50" s="414">
        <f>SUM(D45:D49)</f>
        <v>599770647.015</v>
      </c>
      <c r="E50" s="411"/>
      <c r="F50" s="412" t="s">
        <v>76</v>
      </c>
      <c r="G50" s="413">
        <f>SUM(G45:G49)</f>
        <v>259658075.04399997</v>
      </c>
      <c r="H50" s="411">
        <f>SUM(H45:H49)</f>
        <v>340104908.79300004</v>
      </c>
      <c r="I50" s="414">
        <f>SUM(I45:I49)</f>
        <v>599762983.837</v>
      </c>
      <c r="J50" s="411"/>
      <c r="K50" s="412" t="s">
        <v>76</v>
      </c>
      <c r="L50" s="413">
        <f>SUM(L45:L49)</f>
        <v>351435839.99999994</v>
      </c>
      <c r="M50" s="411">
        <f>SUM(M45:M49)</f>
        <v>268316160.00000003</v>
      </c>
      <c r="N50" s="414">
        <f>SUM(N45:N49)</f>
        <v>619752000</v>
      </c>
      <c r="O50" s="411"/>
      <c r="P50" s="412" t="s">
        <v>76</v>
      </c>
      <c r="Q50" s="413">
        <f>SUM(Q45:Q49)</f>
        <v>275607359.99999994</v>
      </c>
      <c r="R50" s="411">
        <f>SUM(R45:R49)</f>
        <v>351435839.99999994</v>
      </c>
      <c r="S50" s="414">
        <f>SUM(S45:S49)</f>
        <v>627043199.9999999</v>
      </c>
      <c r="T50" s="411"/>
      <c r="U50" s="406"/>
      <c r="V50" s="406"/>
      <c r="W50" s="406"/>
      <c r="X50" s="406"/>
    </row>
    <row r="51" spans="1:24" ht="12.75">
      <c r="A51" s="406"/>
      <c r="B51" s="428"/>
      <c r="C51" s="410"/>
      <c r="D51" s="429"/>
      <c r="E51" s="410"/>
      <c r="F51" s="406"/>
      <c r="G51" s="428"/>
      <c r="H51" s="410"/>
      <c r="I51" s="429"/>
      <c r="J51" s="410"/>
      <c r="K51" s="406"/>
      <c r="L51" s="428"/>
      <c r="M51" s="410"/>
      <c r="N51" s="429"/>
      <c r="O51" s="410"/>
      <c r="P51" s="406"/>
      <c r="Q51" s="428"/>
      <c r="R51" s="410"/>
      <c r="S51" s="429"/>
      <c r="T51" s="410"/>
      <c r="U51" s="406"/>
      <c r="V51" s="406"/>
      <c r="W51" s="406"/>
      <c r="X51" s="406"/>
    </row>
    <row r="52" spans="1:24" ht="12.75">
      <c r="A52" s="409" t="s">
        <v>84</v>
      </c>
      <c r="B52" s="428"/>
      <c r="C52" s="410"/>
      <c r="D52" s="429"/>
      <c r="E52" s="410"/>
      <c r="F52" s="409" t="s">
        <v>84</v>
      </c>
      <c r="G52" s="428"/>
      <c r="H52" s="410"/>
      <c r="I52" s="429"/>
      <c r="J52" s="410"/>
      <c r="K52" s="409" t="s">
        <v>84</v>
      </c>
      <c r="L52" s="428"/>
      <c r="M52" s="410"/>
      <c r="N52" s="429"/>
      <c r="O52" s="410"/>
      <c r="P52" s="409" t="s">
        <v>84</v>
      </c>
      <c r="Q52" s="428"/>
      <c r="R52" s="410"/>
      <c r="S52" s="429"/>
      <c r="T52" s="410"/>
      <c r="U52" s="406"/>
      <c r="V52" s="406"/>
      <c r="W52" s="406"/>
      <c r="X52" s="406"/>
    </row>
    <row r="53" spans="1:24" ht="12.75">
      <c r="A53" s="412" t="s">
        <v>31</v>
      </c>
      <c r="B53" s="433">
        <f>B66/B43</f>
        <v>0.03939199998613576</v>
      </c>
      <c r="C53" s="415">
        <f>C66/C43</f>
        <v>0.03939200001058515</v>
      </c>
      <c r="D53" s="434">
        <f>D66/D43</f>
        <v>0.039392</v>
      </c>
      <c r="E53" s="415"/>
      <c r="F53" s="412" t="s">
        <v>31</v>
      </c>
      <c r="G53" s="433">
        <f>G66/G43</f>
        <v>0.03939199998613576</v>
      </c>
      <c r="H53" s="415">
        <f>H66/H43</f>
        <v>0.03939200001058515</v>
      </c>
      <c r="I53" s="434">
        <f>I66/I43</f>
        <v>0.039392</v>
      </c>
      <c r="J53" s="415"/>
      <c r="K53" s="412" t="s">
        <v>31</v>
      </c>
      <c r="L53" s="433">
        <f>+'[1]Stmts RUS'!R71/1000</f>
        <v>0.039392002341920376</v>
      </c>
      <c r="M53" s="415">
        <f>+L53</f>
        <v>0.039392002341920376</v>
      </c>
      <c r="N53" s="434">
        <f>N66/N43</f>
        <v>0.03939200234192037</v>
      </c>
      <c r="O53" s="415"/>
      <c r="P53" s="412" t="s">
        <v>31</v>
      </c>
      <c r="Q53" s="433">
        <f>+'[2]Stmts RUS'!$I$71/1000</f>
        <v>0.039432103718199614</v>
      </c>
      <c r="R53" s="415">
        <f>+Q53</f>
        <v>0.039432103718199614</v>
      </c>
      <c r="S53" s="434">
        <f>S66/S43</f>
        <v>0.039432103718199614</v>
      </c>
      <c r="T53" s="415"/>
      <c r="U53" s="406"/>
      <c r="V53" s="406"/>
      <c r="W53" s="406"/>
      <c r="X53" s="406"/>
    </row>
    <row r="54" spans="1:24" ht="12.75">
      <c r="A54" s="412" t="s">
        <v>62</v>
      </c>
      <c r="B54" s="435">
        <f>G28/B44</f>
        <v>21.806004027489365</v>
      </c>
      <c r="C54" s="416">
        <f>H28/C44</f>
        <v>21.806000064048316</v>
      </c>
      <c r="D54" s="436">
        <f>I28/D44</f>
        <v>21.80600050273832</v>
      </c>
      <c r="E54" s="416"/>
      <c r="F54" s="412" t="s">
        <v>62</v>
      </c>
      <c r="G54" s="435">
        <f>V28/G44</f>
        <v>21.805991970283817</v>
      </c>
      <c r="H54" s="416">
        <f>W28/H44</f>
        <v>21.806001637475067</v>
      </c>
      <c r="I54" s="436">
        <f>X28/I44</f>
        <v>21.80600532383992</v>
      </c>
      <c r="J54" s="416"/>
      <c r="K54" s="412" t="s">
        <v>62</v>
      </c>
      <c r="L54" s="435">
        <f>IF(L44=0,0,AH28/L44)</f>
        <v>0</v>
      </c>
      <c r="M54" s="416">
        <f>IF(M44=0,0,AI28/M44)</f>
        <v>0</v>
      </c>
      <c r="N54" s="436">
        <f>IF(N44=0,0,AJ28/N44)</f>
        <v>0</v>
      </c>
      <c r="O54" s="416"/>
      <c r="P54" s="412" t="s">
        <v>62</v>
      </c>
      <c r="Q54" s="435">
        <f>IF(Q44=0,0,AT28/Q44)</f>
        <v>0</v>
      </c>
      <c r="R54" s="416">
        <f>IF(R44=0,0,AU28/R44)</f>
        <v>0</v>
      </c>
      <c r="S54" s="436">
        <f>IF(S44=0,0,AV28/S44)</f>
        <v>0</v>
      </c>
      <c r="T54" s="416"/>
      <c r="U54" s="406"/>
      <c r="V54" s="406"/>
      <c r="W54" s="406"/>
      <c r="X54" s="406"/>
    </row>
    <row r="55" spans="1:24" ht="12.75">
      <c r="A55" s="412" t="s">
        <v>65</v>
      </c>
      <c r="B55" s="435">
        <f>G29/B46</f>
        <v>32.466230490186035</v>
      </c>
      <c r="C55" s="416">
        <f>H29/C46</f>
        <v>33.742562091006384</v>
      </c>
      <c r="D55" s="436">
        <f>I29/D46</f>
        <v>33.57976705809198</v>
      </c>
      <c r="E55" s="416"/>
      <c r="F55" s="412" t="s">
        <v>65</v>
      </c>
      <c r="G55" s="435">
        <f>V29/G46</f>
        <v>41.87968226353515</v>
      </c>
      <c r="H55" s="416">
        <f>W29/H46</f>
        <v>33.91451560298711</v>
      </c>
      <c r="I55" s="436">
        <f>X29/I46</f>
        <v>36.56472818648897</v>
      </c>
      <c r="J55" s="416"/>
      <c r="K55" s="412" t="s">
        <v>65</v>
      </c>
      <c r="L55" s="435">
        <f>IF(L46=0,0,AH29/L46)</f>
        <v>0</v>
      </c>
      <c r="M55" s="416">
        <f>IF(M46=0,0,AI29/M46)</f>
        <v>0</v>
      </c>
      <c r="N55" s="436">
        <f>IF(N46=0,0,AJ29/N46)</f>
        <v>0</v>
      </c>
      <c r="O55" s="416"/>
      <c r="P55" s="412" t="s">
        <v>65</v>
      </c>
      <c r="Q55" s="435">
        <f>IF(Q46=0,0,AT29/Q46)</f>
        <v>0</v>
      </c>
      <c r="R55" s="416">
        <f>IF(R46=0,0,AU29/R46)</f>
        <v>0</v>
      </c>
      <c r="S55" s="436">
        <f>IF(S46=0,0,AV29/S46)</f>
        <v>0</v>
      </c>
      <c r="T55" s="416"/>
      <c r="U55" s="406"/>
      <c r="V55" s="406"/>
      <c r="W55" s="406"/>
      <c r="X55" s="406"/>
    </row>
    <row r="56" spans="1:24" ht="12.75">
      <c r="A56" s="412" t="s">
        <v>32</v>
      </c>
      <c r="B56" s="435">
        <f>G30/B43</f>
        <v>0.002999166682071379</v>
      </c>
      <c r="C56" s="416">
        <f>H30/C43</f>
        <v>0.0029991666549053927</v>
      </c>
      <c r="D56" s="436">
        <f>I30/D43</f>
        <v>0.002999166666666667</v>
      </c>
      <c r="E56" s="416"/>
      <c r="F56" s="412" t="s">
        <v>32</v>
      </c>
      <c r="G56" s="435">
        <f>V30/G43</f>
        <v>0.002999166682071379</v>
      </c>
      <c r="H56" s="416">
        <f>W30/H43</f>
        <v>0.0029991666549053927</v>
      </c>
      <c r="I56" s="436">
        <f>X30/I43</f>
        <v>0.002999166666666667</v>
      </c>
      <c r="J56" s="416"/>
      <c r="K56" s="412" t="s">
        <v>32</v>
      </c>
      <c r="L56" s="435">
        <f>+'[1]Stmts RUS'!R72</f>
        <v>2.95</v>
      </c>
      <c r="M56" s="416">
        <f>+L56</f>
        <v>2.95</v>
      </c>
      <c r="N56" s="436">
        <f>AJ30/N43</f>
        <v>2.95</v>
      </c>
      <c r="O56" s="416"/>
      <c r="P56" s="412" t="s">
        <v>32</v>
      </c>
      <c r="Q56" s="435">
        <f>+'[2]Stmts RUS'!$I$72</f>
        <v>2.95</v>
      </c>
      <c r="R56" s="416">
        <f>+Q56</f>
        <v>2.95</v>
      </c>
      <c r="S56" s="436">
        <f>AV30/S43</f>
        <v>2.95</v>
      </c>
      <c r="T56" s="416"/>
      <c r="U56" s="406"/>
      <c r="V56" s="406"/>
      <c r="W56" s="406"/>
      <c r="X56" s="406"/>
    </row>
    <row r="57" spans="1:24" ht="12.75">
      <c r="A57" s="412" t="s">
        <v>34</v>
      </c>
      <c r="B57" s="435">
        <f>G31/B45</f>
        <v>-0.0004243471818647059</v>
      </c>
      <c r="C57" s="416">
        <f>H31/C45</f>
        <v>-0.00043126405932146267</v>
      </c>
      <c r="D57" s="436">
        <f>I31/D45</f>
        <v>-0.00042826948605339307</v>
      </c>
      <c r="E57" s="416"/>
      <c r="F57" s="412" t="s">
        <v>34</v>
      </c>
      <c r="G57" s="435">
        <f>V31/G45</f>
        <v>-0.0005659094823943669</v>
      </c>
      <c r="H57" s="416">
        <f>W31/H45</f>
        <v>-0.0005775471875277327</v>
      </c>
      <c r="I57" s="436">
        <f>X31/I45</f>
        <v>-0.0005725088042705702</v>
      </c>
      <c r="J57" s="416"/>
      <c r="K57" s="412" t="s">
        <v>34</v>
      </c>
      <c r="L57" s="435">
        <f>+'[1]Stmts RUS'!R74</f>
        <v>-0.5887604174294743</v>
      </c>
      <c r="M57" s="416">
        <f>+L57</f>
        <v>-0.5887604174294743</v>
      </c>
      <c r="N57" s="436">
        <f>AJ31/N45</f>
        <v>-0.5887604174294742</v>
      </c>
      <c r="O57" s="416"/>
      <c r="P57" s="412" t="s">
        <v>34</v>
      </c>
      <c r="Q57" s="435">
        <f>+'[2]Stmts RUS'!$I$74</f>
        <v>-0.5737368842685836</v>
      </c>
      <c r="R57" s="416">
        <f>+Q57</f>
        <v>-0.5737368842685836</v>
      </c>
      <c r="S57" s="436">
        <f>AV31/S45</f>
        <v>-0.5737368842685836</v>
      </c>
      <c r="T57" s="416"/>
      <c r="U57" s="406"/>
      <c r="V57" s="406"/>
      <c r="W57" s="406"/>
      <c r="X57" s="406"/>
    </row>
    <row r="58" spans="1:24" ht="12.75">
      <c r="A58" s="412" t="s">
        <v>16</v>
      </c>
      <c r="B58" s="435">
        <f>G32/B45</f>
        <v>0.002648407990804668</v>
      </c>
      <c r="C58" s="416">
        <f>H32/C45</f>
        <v>0.002691577127215106</v>
      </c>
      <c r="D58" s="436">
        <f>I32/D45</f>
        <v>0.002672887603986085</v>
      </c>
      <c r="E58" s="416"/>
      <c r="F58" s="412" t="s">
        <v>16</v>
      </c>
      <c r="G58" s="435">
        <f>V32/G45</f>
        <v>0.0032999782360836703</v>
      </c>
      <c r="H58" s="416">
        <f>W32/H45</f>
        <v>0.0033678411385798163</v>
      </c>
      <c r="I58" s="436">
        <f>X32/I45</f>
        <v>0.0033384608348343008</v>
      </c>
      <c r="J58" s="416"/>
      <c r="K58" s="412" t="s">
        <v>16</v>
      </c>
      <c r="L58" s="435">
        <f>+'[1]Stmts RUS'!R75</f>
        <v>3.5081639216437175</v>
      </c>
      <c r="M58" s="416">
        <f>+L58</f>
        <v>3.5081639216437175</v>
      </c>
      <c r="N58" s="436">
        <f>AJ32/N45</f>
        <v>3.5081639216437175</v>
      </c>
      <c r="O58" s="416"/>
      <c r="P58" s="412" t="s">
        <v>16</v>
      </c>
      <c r="Q58" s="435">
        <f>+'[2]Stmts RUS'!$I$75</f>
        <v>3.9206958091520967</v>
      </c>
      <c r="R58" s="416">
        <f>+Q58</f>
        <v>3.9206958091520967</v>
      </c>
      <c r="S58" s="436">
        <f>AV32/S45</f>
        <v>3.920695809152097</v>
      </c>
      <c r="T58" s="416"/>
      <c r="U58" s="406"/>
      <c r="V58" s="406"/>
      <c r="W58" s="406"/>
      <c r="X58" s="406"/>
    </row>
    <row r="59" spans="1:24" ht="12.75">
      <c r="A59" s="412" t="s">
        <v>35</v>
      </c>
      <c r="B59" s="435">
        <f>G33/B45</f>
        <v>0.0022310831018192445</v>
      </c>
      <c r="C59" s="416">
        <f>H33/C45</f>
        <v>0.00226744981661828</v>
      </c>
      <c r="D59" s="436">
        <f>I33/D45</f>
        <v>0.0022517053144689293</v>
      </c>
      <c r="E59" s="416"/>
      <c r="F59" s="412" t="s">
        <v>35</v>
      </c>
      <c r="G59" s="435">
        <f>V33/G45</f>
        <v>0.002065718761903439</v>
      </c>
      <c r="H59" s="416">
        <f>W33/H45</f>
        <v>0.002108199545099383</v>
      </c>
      <c r="I59" s="436">
        <f>X33/I45</f>
        <v>0.002089808078366655</v>
      </c>
      <c r="J59" s="416"/>
      <c r="K59" s="412" t="s">
        <v>35</v>
      </c>
      <c r="L59" s="435">
        <f>+'[1]Stmts RUS'!R76</f>
        <v>2.367110170616618</v>
      </c>
      <c r="M59" s="416">
        <f>+L59</f>
        <v>2.367110170616618</v>
      </c>
      <c r="N59" s="436">
        <f>AJ33/N45</f>
        <v>2.3671101706166175</v>
      </c>
      <c r="O59" s="416"/>
      <c r="P59" s="412" t="s">
        <v>35</v>
      </c>
      <c r="Q59" s="435">
        <f>+'[2]Stmts RUS'!$I$76</f>
        <v>2.548096149954306</v>
      </c>
      <c r="R59" s="416">
        <f>+Q59</f>
        <v>2.548096149954306</v>
      </c>
      <c r="S59" s="436">
        <f>AV33/S45</f>
        <v>2.5480961499543064</v>
      </c>
      <c r="T59" s="416"/>
      <c r="U59" s="406"/>
      <c r="V59" s="406"/>
      <c r="W59" s="406"/>
      <c r="X59" s="406"/>
    </row>
    <row r="60" spans="1:24" ht="12.75">
      <c r="A60" s="412" t="s">
        <v>36</v>
      </c>
      <c r="B60" s="435">
        <f>G34/B43</f>
        <v>0.0018808305296756384</v>
      </c>
      <c r="C60" s="416">
        <f>H34/C43</f>
        <v>0.0018808248887383448</v>
      </c>
      <c r="D60" s="436">
        <f>I34/D43</f>
        <v>0.001880827330932373</v>
      </c>
      <c r="E60" s="416"/>
      <c r="F60" s="412" t="s">
        <v>36</v>
      </c>
      <c r="G60" s="435">
        <f>V34/G43</f>
        <v>0.0018808305296756384</v>
      </c>
      <c r="H60" s="416">
        <f>W34/H43</f>
        <v>0.0018808248887383448</v>
      </c>
      <c r="I60" s="436">
        <f>X34/I43</f>
        <v>0.001880827330932373</v>
      </c>
      <c r="J60" s="416"/>
      <c r="K60" s="412" t="s">
        <v>36</v>
      </c>
      <c r="L60" s="435">
        <f>+'[1]Stmts RUS'!R77</f>
        <v>1.8588651589668124</v>
      </c>
      <c r="M60" s="416">
        <f>+L60</f>
        <v>1.8588651589668124</v>
      </c>
      <c r="N60" s="436">
        <f>AJ34/N43</f>
        <v>1.8588651589668126</v>
      </c>
      <c r="O60" s="416"/>
      <c r="P60" s="412" t="s">
        <v>36</v>
      </c>
      <c r="Q60" s="435">
        <f>+'[2]Stmts RUS'!$I$77</f>
        <v>1.8512039361881287</v>
      </c>
      <c r="R60" s="416">
        <f>+Q60</f>
        <v>1.8512039361881287</v>
      </c>
      <c r="S60" s="436">
        <f>AV34/S43</f>
        <v>1.8512039361881287</v>
      </c>
      <c r="T60" s="416"/>
      <c r="U60" s="406"/>
      <c r="V60" s="406"/>
      <c r="W60" s="406"/>
      <c r="X60" s="406"/>
    </row>
    <row r="61" spans="1:24" ht="12.75">
      <c r="A61" s="412" t="s">
        <v>70</v>
      </c>
      <c r="B61" s="435">
        <f>IF(B47=0,0,-G35/B47)</f>
        <v>0</v>
      </c>
      <c r="C61" s="416">
        <f>IF(C47=0,0,-H35/C47)</f>
        <v>0</v>
      </c>
      <c r="D61" s="436">
        <f>IF(D47=0,0,-I35/D47)</f>
        <v>0</v>
      </c>
      <c r="E61" s="416"/>
      <c r="F61" s="412" t="s">
        <v>70</v>
      </c>
      <c r="G61" s="435">
        <f>IF(G47=0,0,-V35/G47)</f>
        <v>-34.268001326874554</v>
      </c>
      <c r="H61" s="416">
        <f>IF(H47=0,0,-W35/H47)</f>
        <v>0</v>
      </c>
      <c r="I61" s="436">
        <f>IF(I47=0,0,-X35/I47)</f>
        <v>-34.268001326874554</v>
      </c>
      <c r="J61" s="416"/>
      <c r="K61" s="412" t="s">
        <v>70</v>
      </c>
      <c r="L61" s="435">
        <f>IF(L47=0,0,-AH35/L47)</f>
        <v>0</v>
      </c>
      <c r="M61" s="416">
        <f>IF(M47=0,0,-AI35/M47)</f>
        <v>0</v>
      </c>
      <c r="N61" s="436">
        <f>IF(N47=0,0,-AJ35/N47)</f>
        <v>0</v>
      </c>
      <c r="O61" s="416"/>
      <c r="P61" s="412" t="s">
        <v>70</v>
      </c>
      <c r="Q61" s="435">
        <f>IF(Q47=0,0,-AT35/Q47)</f>
        <v>0</v>
      </c>
      <c r="R61" s="416">
        <f>IF(R47=0,0,-AU35/R47)</f>
        <v>0</v>
      </c>
      <c r="S61" s="436">
        <f>IF(S47=0,0,-AV35/S47)</f>
        <v>0</v>
      </c>
      <c r="T61" s="416"/>
      <c r="U61" s="406"/>
      <c r="V61" s="406"/>
      <c r="W61" s="406"/>
      <c r="X61" s="406"/>
    </row>
    <row r="62" spans="1:24" ht="12.75">
      <c r="A62" s="412" t="s">
        <v>80</v>
      </c>
      <c r="B62" s="437">
        <f>+IF(G36=0,0,G36/B48)</f>
        <v>0</v>
      </c>
      <c r="C62" s="438">
        <f>+IF(H36=0,0,H36/C48)</f>
        <v>33.93125</v>
      </c>
      <c r="D62" s="439">
        <f>+IF(I36=0,0,I36/D48)</f>
        <v>33.93125</v>
      </c>
      <c r="E62" s="417"/>
      <c r="F62" s="412" t="s">
        <v>80</v>
      </c>
      <c r="G62" s="437">
        <f>+IF(V36=0,0,V36/G48)</f>
        <v>0</v>
      </c>
      <c r="H62" s="438">
        <f>+IF(W36=0,0,W36/H48)</f>
        <v>0</v>
      </c>
      <c r="I62" s="439">
        <f>+IF(X36=0,0,X36/I48)</f>
        <v>0</v>
      </c>
      <c r="J62" s="417"/>
      <c r="K62" s="412" t="s">
        <v>80</v>
      </c>
      <c r="L62" s="437">
        <f>+IF(AH36=0,0,AH36/L48)</f>
        <v>0</v>
      </c>
      <c r="M62" s="438">
        <f>+IF(AI36=0,0,AI36/M48)</f>
        <v>0</v>
      </c>
      <c r="N62" s="439">
        <f>+IF(AJ36=0,0,AJ36/N48)</f>
        <v>0</v>
      </c>
      <c r="O62" s="417"/>
      <c r="P62" s="412" t="s">
        <v>80</v>
      </c>
      <c r="Q62" s="437">
        <f>+IF(AT36=0,0,AT36/Q48)</f>
        <v>0</v>
      </c>
      <c r="R62" s="438">
        <f>+IF(AU36=0,0,AU36/R48)</f>
        <v>0</v>
      </c>
      <c r="S62" s="439">
        <f>+IF(AV36=0,0,AV36/S48)</f>
        <v>0</v>
      </c>
      <c r="T62" s="417"/>
      <c r="U62" s="406"/>
      <c r="V62" s="406"/>
      <c r="W62" s="406"/>
      <c r="X62" s="406"/>
    </row>
    <row r="63" spans="1:24" ht="12.75">
      <c r="A63" s="412" t="s">
        <v>77</v>
      </c>
      <c r="B63" s="435">
        <f>G38/B50</f>
        <v>0.009454641368941396</v>
      </c>
      <c r="C63" s="416">
        <f>H38/C50</f>
        <v>0.010108657310583639</v>
      </c>
      <c r="D63" s="436">
        <f>I38/D50</f>
        <v>0.009825510566962804</v>
      </c>
      <c r="E63" s="416"/>
      <c r="F63" s="412" t="s">
        <v>77</v>
      </c>
      <c r="G63" s="435">
        <f>V38/G50</f>
        <v>0.009396688316304224</v>
      </c>
      <c r="H63" s="416">
        <f>W38/H50</f>
        <v>0.010165593793602894</v>
      </c>
      <c r="I63" s="436">
        <f>X38/I50</f>
        <v>0.009832708101243428</v>
      </c>
      <c r="J63" s="416"/>
      <c r="K63" s="412" t="s">
        <v>77</v>
      </c>
      <c r="L63" s="435">
        <f>AH38/L50</f>
        <v>10.095378833797673</v>
      </c>
      <c r="M63" s="416">
        <f>AI38/M50</f>
        <v>10.095378833797673</v>
      </c>
      <c r="N63" s="436">
        <f>AJ38/N50</f>
        <v>10.095378833797673</v>
      </c>
      <c r="O63" s="416"/>
      <c r="P63" s="412" t="s">
        <v>77</v>
      </c>
      <c r="Q63" s="435">
        <f>AT38/Q50</f>
        <v>10.696259011025948</v>
      </c>
      <c r="R63" s="416">
        <f>AU38/R50</f>
        <v>10.696259011025948</v>
      </c>
      <c r="S63" s="436">
        <f>AV38/S50</f>
        <v>10.69625901102595</v>
      </c>
      <c r="T63" s="416"/>
      <c r="U63" s="406"/>
      <c r="V63" s="406"/>
      <c r="W63" s="406"/>
      <c r="X63" s="406"/>
    </row>
    <row r="64" spans="1:24" ht="12.75">
      <c r="A64" s="406"/>
      <c r="B64" s="428"/>
      <c r="C64" s="410"/>
      <c r="D64" s="429"/>
      <c r="E64" s="410"/>
      <c r="F64" s="406"/>
      <c r="G64" s="428"/>
      <c r="H64" s="410"/>
      <c r="I64" s="429"/>
      <c r="J64" s="410"/>
      <c r="K64" s="406"/>
      <c r="L64" s="428"/>
      <c r="M64" s="410"/>
      <c r="N64" s="429"/>
      <c r="O64" s="410"/>
      <c r="P64" s="406"/>
      <c r="Q64" s="428"/>
      <c r="R64" s="410"/>
      <c r="S64" s="429"/>
      <c r="T64" s="410"/>
      <c r="U64" s="406"/>
      <c r="V64" s="406"/>
      <c r="W64" s="406"/>
      <c r="X64" s="406"/>
    </row>
    <row r="65" spans="1:24" ht="12.75">
      <c r="A65" s="418" t="s">
        <v>78</v>
      </c>
      <c r="B65" s="428"/>
      <c r="C65" s="410"/>
      <c r="D65" s="429"/>
      <c r="E65" s="410"/>
      <c r="F65" s="418" t="s">
        <v>78</v>
      </c>
      <c r="G65" s="428"/>
      <c r="H65" s="410"/>
      <c r="I65" s="429"/>
      <c r="J65" s="410"/>
      <c r="K65" s="418" t="s">
        <v>78</v>
      </c>
      <c r="L65" s="428"/>
      <c r="M65" s="410"/>
      <c r="N65" s="429"/>
      <c r="O65" s="410"/>
      <c r="P65" s="418" t="s">
        <v>78</v>
      </c>
      <c r="Q65" s="428"/>
      <c r="R65" s="410"/>
      <c r="S65" s="429"/>
      <c r="T65" s="410"/>
      <c r="U65" s="406"/>
      <c r="V65" s="406"/>
      <c r="W65" s="406"/>
      <c r="X65" s="406"/>
    </row>
    <row r="66" spans="1:24" ht="16.8" thickBot="1">
      <c r="A66" s="412" t="s">
        <v>61</v>
      </c>
      <c r="B66" s="420">
        <f>+'6-2012-BY'!T10</f>
        <v>10228558.23</v>
      </c>
      <c r="C66" s="440">
        <f>+'6-2012-BY'!T9</f>
        <v>13397187.69</v>
      </c>
      <c r="D66" s="422">
        <f>SUM(B66:C66)</f>
        <v>23625745.92</v>
      </c>
      <c r="E66" s="411"/>
      <c r="F66" s="412" t="s">
        <v>61</v>
      </c>
      <c r="G66" s="420">
        <f>+'9-2012-BY'!T10</f>
        <v>10228558.23</v>
      </c>
      <c r="H66" s="440">
        <f>+'9-2012-BY'!T9</f>
        <v>13397187.69</v>
      </c>
      <c r="I66" s="422">
        <f>SUM(G66:H66)</f>
        <v>23625745.92</v>
      </c>
      <c r="J66" s="411"/>
      <c r="K66" s="412" t="s">
        <v>61</v>
      </c>
      <c r="L66" s="420">
        <f>+L43*L53</f>
        <v>13843761.432314752</v>
      </c>
      <c r="M66" s="440">
        <f>+M43*M53</f>
        <v>10569510.803095084</v>
      </c>
      <c r="N66" s="422">
        <f>SUM(L66:M66)</f>
        <v>24413272.235409833</v>
      </c>
      <c r="O66" s="411"/>
      <c r="P66" s="412" t="s">
        <v>61</v>
      </c>
      <c r="Q66" s="420">
        <f>+Q43*Q53</f>
        <v>10867778.005019177</v>
      </c>
      <c r="R66" s="440">
        <f>+R43*R53</f>
        <v>13857854.493172603</v>
      </c>
      <c r="S66" s="422">
        <f>SUM(Q66:R66)</f>
        <v>24725632.49819178</v>
      </c>
      <c r="T66" s="411"/>
      <c r="U66" s="406"/>
      <c r="V66" s="406"/>
      <c r="W66" s="406"/>
      <c r="X66" s="406"/>
    </row>
    <row r="67" spans="1:24" ht="12.75">
      <c r="A67" s="406"/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</row>
    <row r="68" spans="1:24" ht="12.75">
      <c r="A68" s="406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</row>
    <row r="69" spans="1:24" ht="12.75">
      <c r="A69" s="406"/>
      <c r="B69" s="498">
        <v>41091</v>
      </c>
      <c r="C69" s="499"/>
      <c r="D69" s="500"/>
      <c r="E69" s="405"/>
      <c r="F69" s="406"/>
      <c r="G69" s="498">
        <v>41183</v>
      </c>
      <c r="H69" s="499"/>
      <c r="I69" s="500"/>
      <c r="J69" s="405"/>
      <c r="K69" s="406"/>
      <c r="L69" s="501">
        <v>41275</v>
      </c>
      <c r="M69" s="499"/>
      <c r="N69" s="500"/>
      <c r="O69" s="405"/>
      <c r="P69" s="406"/>
      <c r="Q69" s="501">
        <v>41365</v>
      </c>
      <c r="R69" s="499"/>
      <c r="S69" s="500"/>
      <c r="T69" s="405"/>
      <c r="U69" s="406"/>
      <c r="V69" s="406"/>
      <c r="W69" s="406"/>
      <c r="X69" s="406"/>
    </row>
    <row r="70" spans="1:24" ht="12.75">
      <c r="A70" s="406"/>
      <c r="B70" s="423" t="s">
        <v>42</v>
      </c>
      <c r="C70" s="424" t="s">
        <v>43</v>
      </c>
      <c r="D70" s="425" t="s">
        <v>33</v>
      </c>
      <c r="E70" s="405"/>
      <c r="F70" s="406"/>
      <c r="G70" s="423" t="s">
        <v>42</v>
      </c>
      <c r="H70" s="424" t="s">
        <v>43</v>
      </c>
      <c r="I70" s="425" t="s">
        <v>33</v>
      </c>
      <c r="J70" s="405"/>
      <c r="K70" s="406"/>
      <c r="L70" s="426" t="s">
        <v>42</v>
      </c>
      <c r="M70" s="405" t="s">
        <v>43</v>
      </c>
      <c r="N70" s="427" t="s">
        <v>33</v>
      </c>
      <c r="O70" s="405"/>
      <c r="P70" s="406"/>
      <c r="Q70" s="426" t="s">
        <v>42</v>
      </c>
      <c r="R70" s="405" t="s">
        <v>43</v>
      </c>
      <c r="S70" s="427" t="s">
        <v>33</v>
      </c>
      <c r="T70" s="405"/>
      <c r="U70" s="406"/>
      <c r="V70" s="406"/>
      <c r="W70" s="406"/>
      <c r="X70" s="406"/>
    </row>
    <row r="71" spans="1:24" ht="12.75">
      <c r="A71" s="409" t="s">
        <v>60</v>
      </c>
      <c r="B71" s="428"/>
      <c r="C71" s="410"/>
      <c r="D71" s="429"/>
      <c r="E71" s="410"/>
      <c r="F71" s="409" t="s">
        <v>60</v>
      </c>
      <c r="G71" s="428"/>
      <c r="H71" s="410"/>
      <c r="I71" s="429"/>
      <c r="J71" s="410"/>
      <c r="K71" s="409" t="s">
        <v>60</v>
      </c>
      <c r="L71" s="428"/>
      <c r="M71" s="410"/>
      <c r="N71" s="429"/>
      <c r="O71" s="410"/>
      <c r="P71" s="409" t="s">
        <v>60</v>
      </c>
      <c r="Q71" s="428"/>
      <c r="R71" s="410"/>
      <c r="S71" s="429"/>
      <c r="T71" s="410"/>
      <c r="U71" s="406"/>
      <c r="V71" s="406"/>
      <c r="W71" s="406"/>
      <c r="X71" s="406"/>
    </row>
    <row r="72" spans="1:24" ht="12.75">
      <c r="A72" s="412" t="s">
        <v>61</v>
      </c>
      <c r="B72" s="413">
        <f>+'7-2012-BY'!B10</f>
        <v>268316160</v>
      </c>
      <c r="C72" s="411">
        <f>+'7-2012-BY'!B9</f>
        <v>351435840</v>
      </c>
      <c r="D72" s="414">
        <f>SUM(B72:C72)</f>
        <v>619752000</v>
      </c>
      <c r="E72" s="411"/>
      <c r="F72" s="412" t="s">
        <v>61</v>
      </c>
      <c r="G72" s="413">
        <f>+'10-2012-BY'!B10</f>
        <v>268316160</v>
      </c>
      <c r="H72" s="411">
        <f>+'10-2012-BY'!B9</f>
        <v>351435840</v>
      </c>
      <c r="I72" s="414">
        <f>SUM(G72:H72)</f>
        <v>619752000</v>
      </c>
      <c r="J72" s="411"/>
      <c r="K72" s="412" t="s">
        <v>61</v>
      </c>
      <c r="L72" s="413">
        <f>+'[2]Stmts RUS'!$G$10*1000000000</f>
        <v>275607359.99999994</v>
      </c>
      <c r="M72" s="411">
        <f>+'[2]Stmts RUS'!$G$9*1000000000</f>
        <v>351435839.99999994</v>
      </c>
      <c r="N72" s="414">
        <f>SUM(L72:M72)</f>
        <v>627043199.9999999</v>
      </c>
      <c r="O72" s="411"/>
      <c r="P72" s="412" t="s">
        <v>61</v>
      </c>
      <c r="Q72" s="413">
        <f>+'[2]Stmts RUS'!$J$10*1000000000</f>
        <v>266716799.99999997</v>
      </c>
      <c r="R72" s="411">
        <f>+'[2]Stmts RUS'!$J$9*1000000000</f>
        <v>340099200</v>
      </c>
      <c r="S72" s="414">
        <f>SUM(Q72:R72)</f>
        <v>606816000</v>
      </c>
      <c r="T72" s="411"/>
      <c r="U72" s="406"/>
      <c r="V72" s="406"/>
      <c r="W72" s="406"/>
      <c r="X72" s="406"/>
    </row>
    <row r="73" spans="1:24" ht="12.75">
      <c r="A73" s="412" t="s">
        <v>62</v>
      </c>
      <c r="B73" s="430">
        <f>+'7-2012-BY'!B17/1000</f>
        <v>4.45</v>
      </c>
      <c r="C73" s="431">
        <f>+'7-2012-BY'!B16/1000</f>
        <v>6728.41</v>
      </c>
      <c r="D73" s="432">
        <f>SUM(B73:C73)</f>
        <v>6732.86</v>
      </c>
      <c r="E73" s="411"/>
      <c r="F73" s="412" t="s">
        <v>62</v>
      </c>
      <c r="G73" s="430">
        <f>+'10-2012-BY'!B17/1000</f>
        <v>350.686</v>
      </c>
      <c r="H73" s="431">
        <f>+'10-2012-BY'!B16/1000</f>
        <v>4501.728</v>
      </c>
      <c r="I73" s="432">
        <f>SUM(G73:H73)</f>
        <v>4852.414</v>
      </c>
      <c r="J73" s="411"/>
      <c r="K73" s="412" t="s">
        <v>62</v>
      </c>
      <c r="L73" s="430">
        <v>0</v>
      </c>
      <c r="M73" s="431">
        <v>0</v>
      </c>
      <c r="N73" s="432">
        <f>SUM(L73:M73)</f>
        <v>0</v>
      </c>
      <c r="O73" s="411"/>
      <c r="P73" s="412" t="s">
        <v>62</v>
      </c>
      <c r="Q73" s="430">
        <v>0</v>
      </c>
      <c r="R73" s="431">
        <v>0</v>
      </c>
      <c r="S73" s="432">
        <f>SUM(Q73:R73)</f>
        <v>0</v>
      </c>
      <c r="T73" s="411"/>
      <c r="U73" s="406"/>
      <c r="V73" s="406"/>
      <c r="W73" s="406"/>
      <c r="X73" s="406"/>
    </row>
    <row r="74" spans="1:24" ht="12.75">
      <c r="A74" s="412" t="s">
        <v>63</v>
      </c>
      <c r="B74" s="413">
        <f>SUM(B72:B73)</f>
        <v>268316164.45</v>
      </c>
      <c r="C74" s="411">
        <f>SUM(C72:C73)</f>
        <v>351442568.41</v>
      </c>
      <c r="D74" s="414">
        <f>SUM(D72:D73)</f>
        <v>619758732.86</v>
      </c>
      <c r="E74" s="411"/>
      <c r="F74" s="412" t="s">
        <v>63</v>
      </c>
      <c r="G74" s="413">
        <f>SUM(G72:G73)</f>
        <v>268316510.686</v>
      </c>
      <c r="H74" s="411">
        <f>SUM(H72:H73)</f>
        <v>351440341.728</v>
      </c>
      <c r="I74" s="414">
        <f>SUM(I72:I73)</f>
        <v>619756852.414</v>
      </c>
      <c r="J74" s="411"/>
      <c r="K74" s="412" t="s">
        <v>63</v>
      </c>
      <c r="L74" s="413">
        <f>SUM(L72:L73)</f>
        <v>275607359.99999994</v>
      </c>
      <c r="M74" s="411">
        <f>SUM(M72:M73)</f>
        <v>351435839.99999994</v>
      </c>
      <c r="N74" s="414">
        <f>SUM(N72:N73)</f>
        <v>627043199.9999999</v>
      </c>
      <c r="O74" s="411"/>
      <c r="P74" s="412" t="s">
        <v>63</v>
      </c>
      <c r="Q74" s="413">
        <f>SUM(Q72:Q73)</f>
        <v>266716799.99999997</v>
      </c>
      <c r="R74" s="411">
        <f>SUM(R72:R73)</f>
        <v>340099200</v>
      </c>
      <c r="S74" s="414">
        <f>SUM(S72:S73)</f>
        <v>606816000</v>
      </c>
      <c r="T74" s="411"/>
      <c r="U74" s="406"/>
      <c r="V74" s="406"/>
      <c r="W74" s="406"/>
      <c r="X74" s="406"/>
    </row>
    <row r="75" spans="1:24" ht="12.75">
      <c r="A75" s="412" t="s">
        <v>65</v>
      </c>
      <c r="B75" s="413">
        <f>+'7-2012-BY'!D5/1000</f>
        <v>178.622</v>
      </c>
      <c r="C75" s="411">
        <f>+'7-2012-BY'!D4/1000</f>
        <v>2573.491</v>
      </c>
      <c r="D75" s="414">
        <f>SUM(B75:C75)</f>
        <v>2752.113</v>
      </c>
      <c r="E75" s="411"/>
      <c r="F75" s="412" t="s">
        <v>65</v>
      </c>
      <c r="G75" s="413">
        <f>+'10-2012-BY'!D5/1000</f>
        <v>175.394</v>
      </c>
      <c r="H75" s="411">
        <f>+'10-2012-BY'!D4/1000</f>
        <v>593.069</v>
      </c>
      <c r="I75" s="414">
        <f>SUM(G75:H75)</f>
        <v>768.463</v>
      </c>
      <c r="J75" s="411"/>
      <c r="K75" s="412" t="s">
        <v>65</v>
      </c>
      <c r="L75" s="413">
        <v>0</v>
      </c>
      <c r="M75" s="411">
        <v>0</v>
      </c>
      <c r="N75" s="414">
        <f>SUM(L75:M75)</f>
        <v>0</v>
      </c>
      <c r="O75" s="411"/>
      <c r="P75" s="412" t="s">
        <v>65</v>
      </c>
      <c r="Q75" s="413">
        <v>0</v>
      </c>
      <c r="R75" s="411">
        <v>0</v>
      </c>
      <c r="S75" s="414">
        <f>SUM(Q75:R75)</f>
        <v>0</v>
      </c>
      <c r="T75" s="411"/>
      <c r="U75" s="406"/>
      <c r="V75" s="406"/>
      <c r="W75" s="406"/>
      <c r="X75" s="406"/>
    </row>
    <row r="76" spans="1:24" ht="12.75">
      <c r="A76" s="412" t="s">
        <v>66</v>
      </c>
      <c r="B76" s="413">
        <f>+'7-2012-BY'!E5/1000</f>
        <v>0</v>
      </c>
      <c r="C76" s="411">
        <f>+'7-2012-BY'!E4/1000</f>
        <v>0</v>
      </c>
      <c r="D76" s="414">
        <f>SUM(B76:C76)</f>
        <v>0</v>
      </c>
      <c r="E76" s="411"/>
      <c r="F76" s="412" t="s">
        <v>66</v>
      </c>
      <c r="G76" s="413">
        <f>+'10-2012-BY'!D24/1000</f>
        <v>0</v>
      </c>
      <c r="H76" s="411">
        <f>+'10-2012-BY'!D23/1000</f>
        <v>0</v>
      </c>
      <c r="I76" s="414">
        <f>SUM(G76:H76)</f>
        <v>0</v>
      </c>
      <c r="J76" s="411"/>
      <c r="K76" s="412" t="s">
        <v>66</v>
      </c>
      <c r="L76" s="413">
        <v>0</v>
      </c>
      <c r="M76" s="411">
        <v>0</v>
      </c>
      <c r="N76" s="414">
        <f>SUM(L76:M76)</f>
        <v>0</v>
      </c>
      <c r="O76" s="411"/>
      <c r="P76" s="412" t="s">
        <v>66</v>
      </c>
      <c r="Q76" s="413">
        <v>0</v>
      </c>
      <c r="R76" s="411">
        <v>0</v>
      </c>
      <c r="S76" s="414">
        <f>SUM(Q76:R76)</f>
        <v>0</v>
      </c>
      <c r="T76" s="411"/>
      <c r="U76" s="406"/>
      <c r="V76" s="406"/>
      <c r="W76" s="406"/>
      <c r="X76" s="406"/>
    </row>
    <row r="77" spans="1:24" ht="12.75">
      <c r="A77" s="412" t="s">
        <v>64</v>
      </c>
      <c r="B77" s="413">
        <v>0</v>
      </c>
      <c r="C77" s="411">
        <v>0</v>
      </c>
      <c r="D77" s="414">
        <f>SUM(B77:C77)</f>
        <v>0</v>
      </c>
      <c r="E77" s="411"/>
      <c r="F77" s="412" t="s">
        <v>64</v>
      </c>
      <c r="G77" s="413">
        <v>0</v>
      </c>
      <c r="H77" s="411">
        <v>0</v>
      </c>
      <c r="I77" s="414">
        <f>SUM(G77:H77)</f>
        <v>0</v>
      </c>
      <c r="J77" s="411"/>
      <c r="K77" s="412" t="s">
        <v>64</v>
      </c>
      <c r="L77" s="413">
        <v>0</v>
      </c>
      <c r="M77" s="411">
        <v>0</v>
      </c>
      <c r="N77" s="414">
        <f>SUM(L77:M77)</f>
        <v>0</v>
      </c>
      <c r="O77" s="411"/>
      <c r="P77" s="412" t="s">
        <v>64</v>
      </c>
      <c r="Q77" s="413">
        <v>0</v>
      </c>
      <c r="R77" s="411">
        <v>0</v>
      </c>
      <c r="S77" s="414">
        <f>SUM(Q77:R77)</f>
        <v>0</v>
      </c>
      <c r="T77" s="411"/>
      <c r="U77" s="406"/>
      <c r="V77" s="406"/>
      <c r="W77" s="406"/>
      <c r="X77" s="406"/>
    </row>
    <row r="78" spans="1:24" ht="12.75">
      <c r="A78" s="406"/>
      <c r="B78" s="430"/>
      <c r="C78" s="431"/>
      <c r="D78" s="432"/>
      <c r="E78" s="411"/>
      <c r="F78" s="406"/>
      <c r="G78" s="430"/>
      <c r="H78" s="431"/>
      <c r="I78" s="432"/>
      <c r="J78" s="411"/>
      <c r="K78" s="406"/>
      <c r="L78" s="430"/>
      <c r="M78" s="431"/>
      <c r="N78" s="432"/>
      <c r="O78" s="411"/>
      <c r="P78" s="406"/>
      <c r="Q78" s="430"/>
      <c r="R78" s="431"/>
      <c r="S78" s="432"/>
      <c r="T78" s="411"/>
      <c r="U78" s="406"/>
      <c r="V78" s="406"/>
      <c r="W78" s="406"/>
      <c r="X78" s="406"/>
    </row>
    <row r="79" spans="1:24" ht="12.75">
      <c r="A79" s="412" t="s">
        <v>76</v>
      </c>
      <c r="B79" s="413">
        <f>SUM(B74:B78)</f>
        <v>268316343.072</v>
      </c>
      <c r="C79" s="411">
        <f>SUM(C74:C78)</f>
        <v>351445141.901</v>
      </c>
      <c r="D79" s="414">
        <f>SUM(D74:D78)</f>
        <v>619761484.973</v>
      </c>
      <c r="E79" s="411"/>
      <c r="F79" s="412" t="s">
        <v>76</v>
      </c>
      <c r="G79" s="413">
        <f>SUM(G74:G78)</f>
        <v>268316686.07999998</v>
      </c>
      <c r="H79" s="411">
        <f>SUM(H74:H78)</f>
        <v>351440934.797</v>
      </c>
      <c r="I79" s="414">
        <f>SUM(I74:I78)</f>
        <v>619757620.8770001</v>
      </c>
      <c r="J79" s="411"/>
      <c r="K79" s="412" t="s">
        <v>76</v>
      </c>
      <c r="L79" s="413">
        <f>SUM(L74:L78)</f>
        <v>275607359.99999994</v>
      </c>
      <c r="M79" s="411">
        <f>SUM(M74:M78)</f>
        <v>351435839.99999994</v>
      </c>
      <c r="N79" s="414">
        <f>SUM(N74:N78)</f>
        <v>627043199.9999999</v>
      </c>
      <c r="O79" s="411"/>
      <c r="P79" s="412" t="s">
        <v>76</v>
      </c>
      <c r="Q79" s="413">
        <f>SUM(Q74:Q78)</f>
        <v>266716799.99999997</v>
      </c>
      <c r="R79" s="411">
        <f>SUM(R74:R78)</f>
        <v>340099200</v>
      </c>
      <c r="S79" s="414">
        <f>SUM(S74:S78)</f>
        <v>606816000</v>
      </c>
      <c r="T79" s="411"/>
      <c r="U79" s="406"/>
      <c r="V79" s="406"/>
      <c r="W79" s="406"/>
      <c r="X79" s="406"/>
    </row>
    <row r="80" spans="1:24" ht="12.75">
      <c r="A80" s="406"/>
      <c r="B80" s="428"/>
      <c r="C80" s="410"/>
      <c r="D80" s="429"/>
      <c r="E80" s="410"/>
      <c r="F80" s="406"/>
      <c r="G80" s="428"/>
      <c r="H80" s="410"/>
      <c r="I80" s="429"/>
      <c r="J80" s="410"/>
      <c r="K80" s="406"/>
      <c r="L80" s="428"/>
      <c r="M80" s="410"/>
      <c r="N80" s="429"/>
      <c r="O80" s="410"/>
      <c r="P80" s="406"/>
      <c r="Q80" s="428"/>
      <c r="R80" s="410"/>
      <c r="S80" s="429"/>
      <c r="T80" s="410"/>
      <c r="U80" s="406"/>
      <c r="V80" s="406"/>
      <c r="W80" s="406"/>
      <c r="X80" s="406"/>
    </row>
    <row r="81" spans="1:24" ht="12.75">
      <c r="A81" s="409" t="s">
        <v>84</v>
      </c>
      <c r="B81" s="428"/>
      <c r="C81" s="410"/>
      <c r="D81" s="429"/>
      <c r="E81" s="410"/>
      <c r="F81" s="409" t="s">
        <v>84</v>
      </c>
      <c r="G81" s="428"/>
      <c r="H81" s="410"/>
      <c r="I81" s="429"/>
      <c r="J81" s="410"/>
      <c r="K81" s="409" t="s">
        <v>84</v>
      </c>
      <c r="L81" s="428"/>
      <c r="M81" s="410"/>
      <c r="N81" s="429"/>
      <c r="O81" s="410"/>
      <c r="P81" s="409" t="s">
        <v>84</v>
      </c>
      <c r="Q81" s="428"/>
      <c r="R81" s="410"/>
      <c r="S81" s="429"/>
      <c r="T81" s="410"/>
      <c r="U81" s="406"/>
      <c r="V81" s="406"/>
      <c r="W81" s="406"/>
      <c r="X81" s="406"/>
    </row>
    <row r="82" spans="1:24" ht="12.75">
      <c r="A82" s="412" t="s">
        <v>31</v>
      </c>
      <c r="B82" s="433">
        <f>B95/B72</f>
        <v>0.03939199998240881</v>
      </c>
      <c r="C82" s="415">
        <f>C95/C72</f>
        <v>0.03939200000204874</v>
      </c>
      <c r="D82" s="434">
        <f>D95/D72</f>
        <v>0.039391999993545805</v>
      </c>
      <c r="E82" s="415"/>
      <c r="F82" s="412" t="s">
        <v>31</v>
      </c>
      <c r="G82" s="433">
        <f>G95/G72</f>
        <v>0.03939199998240881</v>
      </c>
      <c r="H82" s="415">
        <f>H95/H72</f>
        <v>0.03939200000204874</v>
      </c>
      <c r="I82" s="434">
        <f>I95/I72</f>
        <v>0.039391999993545805</v>
      </c>
      <c r="J82" s="415"/>
      <c r="K82" s="412" t="s">
        <v>31</v>
      </c>
      <c r="L82" s="433">
        <f>+'[2]Stmts RUS'!$G$71/1000</f>
        <v>0.039432103718199614</v>
      </c>
      <c r="M82" s="415">
        <f>+L82</f>
        <v>0.039432103718199614</v>
      </c>
      <c r="N82" s="434">
        <f>N95/N72</f>
        <v>0.039432103718199614</v>
      </c>
      <c r="O82" s="415"/>
      <c r="P82" s="412" t="s">
        <v>31</v>
      </c>
      <c r="Q82" s="433">
        <f>+'[2]Stmts RUS'!$J$71/1000</f>
        <v>0.039432103718199614</v>
      </c>
      <c r="R82" s="415">
        <f>+Q82</f>
        <v>0.039432103718199614</v>
      </c>
      <c r="S82" s="434">
        <f>S95/S72</f>
        <v>0.039432103718199614</v>
      </c>
      <c r="T82" s="415"/>
      <c r="U82" s="406"/>
      <c r="V82" s="406"/>
      <c r="W82" s="406"/>
      <c r="X82" s="406"/>
    </row>
    <row r="83" spans="1:24" ht="12.75">
      <c r="A83" s="412" t="s">
        <v>62</v>
      </c>
      <c r="B83" s="435">
        <f>L28/B73</f>
        <v>21.804494382022472</v>
      </c>
      <c r="C83" s="416">
        <f>M28/C73</f>
        <v>21.80599874264499</v>
      </c>
      <c r="D83" s="436">
        <f>N28/D73</f>
        <v>21.805997748356567</v>
      </c>
      <c r="E83" s="416"/>
      <c r="F83" s="412" t="s">
        <v>62</v>
      </c>
      <c r="G83" s="435">
        <f>Z28/G73</f>
        <v>21.80603160662245</v>
      </c>
      <c r="H83" s="416">
        <f>AA28/H73</f>
        <v>21.805999829398843</v>
      </c>
      <c r="I83" s="436">
        <f>AB28/I73</f>
        <v>21.806002125952155</v>
      </c>
      <c r="J83" s="416"/>
      <c r="K83" s="412" t="s">
        <v>62</v>
      </c>
      <c r="L83" s="435">
        <f>IF(L73=0,0,AL28/L73)</f>
        <v>0</v>
      </c>
      <c r="M83" s="416">
        <f>IF(M73=0,0,AM28/M73)</f>
        <v>0</v>
      </c>
      <c r="N83" s="436">
        <f>IF(N73=0,0,AN28/N73)</f>
        <v>0</v>
      </c>
      <c r="O83" s="416"/>
      <c r="P83" s="412" t="s">
        <v>62</v>
      </c>
      <c r="Q83" s="435">
        <f>IF(Q73=0,0,AX28/Q73)</f>
        <v>0</v>
      </c>
      <c r="R83" s="416">
        <f>IF(R73=0,0,AY28/R73)</f>
        <v>0</v>
      </c>
      <c r="S83" s="436">
        <f>IF(S73=0,0,AZ28/S73)</f>
        <v>0</v>
      </c>
      <c r="T83" s="416"/>
      <c r="U83" s="406"/>
      <c r="V83" s="406"/>
      <c r="W83" s="406"/>
      <c r="X83" s="406"/>
    </row>
    <row r="84" spans="1:24" ht="12.75">
      <c r="A84" s="412" t="s">
        <v>65</v>
      </c>
      <c r="B84" s="435">
        <f>L29/B75</f>
        <v>48.750601829561866</v>
      </c>
      <c r="C84" s="416">
        <f>M29/C75</f>
        <v>53.93430557946385</v>
      </c>
      <c r="D84" s="436">
        <f>N29/D75</f>
        <v>53.59786462256456</v>
      </c>
      <c r="E84" s="416"/>
      <c r="F84" s="412" t="s">
        <v>65</v>
      </c>
      <c r="G84" s="435">
        <f>Z29/G75</f>
        <v>66.22717994914308</v>
      </c>
      <c r="H84" s="416">
        <f>AA29/H75</f>
        <v>43.031485375226154</v>
      </c>
      <c r="I84" s="436">
        <f>AB29/I75</f>
        <v>48.32567085207746</v>
      </c>
      <c r="J84" s="416"/>
      <c r="K84" s="412" t="s">
        <v>65</v>
      </c>
      <c r="L84" s="435">
        <f>IF(L75=0,0,AL29/L75)</f>
        <v>0</v>
      </c>
      <c r="M84" s="416">
        <f>IF(M75=0,0,AM29/M75)</f>
        <v>0</v>
      </c>
      <c r="N84" s="436">
        <f>IF(N75=0,0,AN29/N75)</f>
        <v>0</v>
      </c>
      <c r="O84" s="416"/>
      <c r="P84" s="412" t="s">
        <v>65</v>
      </c>
      <c r="Q84" s="435">
        <f>IF(Q75=0,0,AX29/Q75)</f>
        <v>0</v>
      </c>
      <c r="R84" s="416">
        <f>IF(R75=0,0,AY29/R75)</f>
        <v>0</v>
      </c>
      <c r="S84" s="436">
        <f>IF(S75=0,0,AZ29/S75)</f>
        <v>0</v>
      </c>
      <c r="T84" s="416"/>
      <c r="U84" s="406"/>
      <c r="V84" s="406"/>
      <c r="W84" s="406"/>
      <c r="X84" s="406"/>
    </row>
    <row r="85" spans="1:24" ht="12.75">
      <c r="A85" s="412" t="s">
        <v>32</v>
      </c>
      <c r="B85" s="435">
        <f>L30/B72</f>
        <v>0.0029024193697464963</v>
      </c>
      <c r="C85" s="416">
        <f>M30/C72</f>
        <v>0.0029024193434568314</v>
      </c>
      <c r="D85" s="436">
        <f>N30/D72</f>
        <v>0.00290241935483871</v>
      </c>
      <c r="E85" s="416"/>
      <c r="F85" s="412" t="s">
        <v>32</v>
      </c>
      <c r="G85" s="435">
        <f>Z30/G72</f>
        <v>0.0029024193697464963</v>
      </c>
      <c r="H85" s="416">
        <f>AA30/H72</f>
        <v>0.0029024193434568314</v>
      </c>
      <c r="I85" s="436">
        <f>AB30/I72</f>
        <v>0.00290241935483871</v>
      </c>
      <c r="J85" s="416"/>
      <c r="K85" s="412" t="s">
        <v>32</v>
      </c>
      <c r="L85" s="435">
        <f>+'[2]Stmts RUS'!$G$72</f>
        <v>2.95</v>
      </c>
      <c r="M85" s="416">
        <f>+L85</f>
        <v>2.95</v>
      </c>
      <c r="N85" s="436">
        <f>AN30/N72</f>
        <v>2.95</v>
      </c>
      <c r="O85" s="416"/>
      <c r="P85" s="412" t="s">
        <v>32</v>
      </c>
      <c r="Q85" s="435">
        <f>+'[2]Stmts RUS'!$J$72</f>
        <v>2.95</v>
      </c>
      <c r="R85" s="416">
        <f>+Q85</f>
        <v>2.95</v>
      </c>
      <c r="S85" s="436">
        <f>AZ30/S72</f>
        <v>2.95</v>
      </c>
      <c r="T85" s="416"/>
      <c r="U85" s="406"/>
      <c r="V85" s="406"/>
      <c r="W85" s="406"/>
      <c r="X85" s="406"/>
    </row>
    <row r="86" spans="1:24" ht="12.75">
      <c r="A86" s="412" t="s">
        <v>34</v>
      </c>
      <c r="B86" s="435">
        <f>L31/B74</f>
        <v>-0.0004800079423615956</v>
      </c>
      <c r="C86" s="416">
        <f>M31/C74</f>
        <v>-0.0004891804677441237</v>
      </c>
      <c r="D86" s="436">
        <f>N31/D74</f>
        <v>-0.0004852093468893956</v>
      </c>
      <c r="E86" s="416"/>
      <c r="F86" s="412" t="s">
        <v>34</v>
      </c>
      <c r="G86" s="435">
        <f>Z31/G74</f>
        <v>-0.0003704830900858415</v>
      </c>
      <c r="H86" s="416">
        <f>AA31/H74</f>
        <v>-0.0003747347255367964</v>
      </c>
      <c r="I86" s="436">
        <f>AB31/I74</f>
        <v>-0.00037289402948887746</v>
      </c>
      <c r="J86" s="416"/>
      <c r="K86" s="412" t="s">
        <v>34</v>
      </c>
      <c r="L86" s="435">
        <f>+'[2]Stmts RUS'!$G$74</f>
        <v>-0.5925009641938721</v>
      </c>
      <c r="M86" s="416">
        <f>+L86</f>
        <v>-0.5925009641938721</v>
      </c>
      <c r="N86" s="436">
        <f>AN31/N74</f>
        <v>-0.5925009641938721</v>
      </c>
      <c r="O86" s="416"/>
      <c r="P86" s="412" t="s">
        <v>34</v>
      </c>
      <c r="Q86" s="435">
        <f>+'[2]Stmts RUS'!$J$74</f>
        <v>-0.5509323357775415</v>
      </c>
      <c r="R86" s="416">
        <f>+Q86</f>
        <v>-0.5509323357775415</v>
      </c>
      <c r="S86" s="436">
        <f>AZ31/S74</f>
        <v>-0.5509323357775415</v>
      </c>
      <c r="T86" s="416"/>
      <c r="U86" s="406"/>
      <c r="V86" s="406"/>
      <c r="W86" s="406"/>
      <c r="X86" s="406"/>
    </row>
    <row r="87" spans="1:24" ht="12.75">
      <c r="A87" s="412" t="s">
        <v>16</v>
      </c>
      <c r="B87" s="435">
        <f>L32/B74</f>
        <v>0.002971049215890802</v>
      </c>
      <c r="C87" s="416">
        <f>M32/C74</f>
        <v>0.0030278232793888313</v>
      </c>
      <c r="D87" s="436">
        <f>N32/D74</f>
        <v>0.003003243716164713</v>
      </c>
      <c r="E87" s="416"/>
      <c r="F87" s="412" t="s">
        <v>16</v>
      </c>
      <c r="G87" s="435">
        <f>Z32/G74</f>
        <v>0.003317325712548641</v>
      </c>
      <c r="H87" s="416">
        <f>AA32/H74</f>
        <v>0.0033553949845424045</v>
      </c>
      <c r="I87" s="436">
        <f>AB32/I74</f>
        <v>0.003338913336641399</v>
      </c>
      <c r="J87" s="416"/>
      <c r="K87" s="412" t="s">
        <v>16</v>
      </c>
      <c r="L87" s="435">
        <f>+'[2]Stmts RUS'!$G$75</f>
        <v>3.793970024000206</v>
      </c>
      <c r="M87" s="416">
        <f>+L87</f>
        <v>3.793970024000206</v>
      </c>
      <c r="N87" s="436">
        <f>AN32/N74</f>
        <v>3.7939700240002057</v>
      </c>
      <c r="O87" s="416"/>
      <c r="P87" s="412" t="s">
        <v>16</v>
      </c>
      <c r="Q87" s="435">
        <f>+'[2]Stmts RUS'!$J$75</f>
        <v>3.9562958913347472</v>
      </c>
      <c r="R87" s="416">
        <f>+Q87</f>
        <v>3.9562958913347472</v>
      </c>
      <c r="S87" s="436">
        <f>AZ32/S74</f>
        <v>3.956295891334747</v>
      </c>
      <c r="T87" s="416"/>
      <c r="U87" s="406"/>
      <c r="V87" s="406"/>
      <c r="W87" s="406"/>
      <c r="X87" s="406"/>
    </row>
    <row r="88" spans="1:24" ht="12.75">
      <c r="A88" s="412" t="s">
        <v>35</v>
      </c>
      <c r="B88" s="435">
        <f>L33/B74</f>
        <v>0.0020550340346816923</v>
      </c>
      <c r="C88" s="416">
        <f>M33/C74</f>
        <v>0.002094303866859223</v>
      </c>
      <c r="D88" s="436">
        <f>N33/D74</f>
        <v>0.0020773025239336517</v>
      </c>
      <c r="E88" s="416"/>
      <c r="F88" s="412" t="s">
        <v>35</v>
      </c>
      <c r="G88" s="435">
        <f>Z33/G74</f>
        <v>0.0023351852944049657</v>
      </c>
      <c r="H88" s="416">
        <f>AA33/H74</f>
        <v>0.002361983646836024</v>
      </c>
      <c r="I88" s="436">
        <f>AB33/I74</f>
        <v>0.0023503816122825887</v>
      </c>
      <c r="J88" s="416"/>
      <c r="K88" s="412" t="s">
        <v>35</v>
      </c>
      <c r="L88" s="435">
        <f>+'[2]Stmts RUS'!$G$76</f>
        <v>2.4837400570803227</v>
      </c>
      <c r="M88" s="416">
        <f>+L88</f>
        <v>2.4837400570803227</v>
      </c>
      <c r="N88" s="436">
        <f>AN33/N74</f>
        <v>2.4837400570803227</v>
      </c>
      <c r="O88" s="416"/>
      <c r="P88" s="412" t="s">
        <v>35</v>
      </c>
      <c r="Q88" s="435">
        <f>+'[2]Stmts RUS'!$J$76</f>
        <v>2.3842492425299575</v>
      </c>
      <c r="R88" s="416">
        <f>+Q88</f>
        <v>2.3842492425299575</v>
      </c>
      <c r="S88" s="436">
        <f>AZ33/S74</f>
        <v>2.3842492425299575</v>
      </c>
      <c r="T88" s="416"/>
      <c r="U88" s="406"/>
      <c r="V88" s="406"/>
      <c r="W88" s="406"/>
      <c r="X88" s="406"/>
    </row>
    <row r="89" spans="1:24" ht="12.75">
      <c r="A89" s="412" t="s">
        <v>36</v>
      </c>
      <c r="B89" s="435">
        <f>L34/B72</f>
        <v>0.0018588682470709183</v>
      </c>
      <c r="C89" s="416">
        <f>M34/C72</f>
        <v>0.001858862801244176</v>
      </c>
      <c r="D89" s="436">
        <f>N34/D72</f>
        <v>0.0018588651589668123</v>
      </c>
      <c r="E89" s="416"/>
      <c r="F89" s="412" t="s">
        <v>36</v>
      </c>
      <c r="G89" s="435">
        <f>Z34/G72</f>
        <v>0.0018588682470709183</v>
      </c>
      <c r="H89" s="416">
        <f>AA34/H72</f>
        <v>0.001858862801244176</v>
      </c>
      <c r="I89" s="436">
        <f>AB34/I72</f>
        <v>0.0018588651589668123</v>
      </c>
      <c r="J89" s="416"/>
      <c r="K89" s="412" t="s">
        <v>36</v>
      </c>
      <c r="L89" s="435">
        <f>+'[2]Stmts RUS'!$G$77</f>
        <v>1.8512039361881287</v>
      </c>
      <c r="M89" s="416">
        <f>+L89</f>
        <v>1.8512039361881287</v>
      </c>
      <c r="N89" s="436">
        <f>AN34/N72</f>
        <v>1.8512039361881287</v>
      </c>
      <c r="O89" s="416"/>
      <c r="P89" s="412" t="s">
        <v>36</v>
      </c>
      <c r="Q89" s="435">
        <f>+'[2]Stmts RUS'!$J$77</f>
        <v>1.8729107340610662</v>
      </c>
      <c r="R89" s="416">
        <f>+Q89</f>
        <v>1.8729107340610662</v>
      </c>
      <c r="S89" s="436">
        <f>AZ34/S72</f>
        <v>1.8729107340610662</v>
      </c>
      <c r="T89" s="416"/>
      <c r="U89" s="406"/>
      <c r="V89" s="406"/>
      <c r="W89" s="406"/>
      <c r="X89" s="406"/>
    </row>
    <row r="90" spans="1:24" ht="12.75">
      <c r="A90" s="412" t="s">
        <v>70</v>
      </c>
      <c r="B90" s="435">
        <f>IF(B76=0,0,-L35/B76)</f>
        <v>0</v>
      </c>
      <c r="C90" s="416">
        <f>IF(C76=0,0,-M35/C76)</f>
        <v>0</v>
      </c>
      <c r="D90" s="436">
        <f>IF(D76=0,0,-N35/D76)</f>
        <v>0</v>
      </c>
      <c r="E90" s="416"/>
      <c r="F90" s="412" t="s">
        <v>70</v>
      </c>
      <c r="G90" s="435">
        <f>IF(G76=0,0,-Z35/G76)</f>
        <v>0</v>
      </c>
      <c r="H90" s="416">
        <f>IF(H76=0,0,-AA35/H76)</f>
        <v>0</v>
      </c>
      <c r="I90" s="436">
        <f>IF(I76=0,0,-AB35/I76)</f>
        <v>0</v>
      </c>
      <c r="J90" s="416"/>
      <c r="K90" s="412" t="s">
        <v>70</v>
      </c>
      <c r="L90" s="435">
        <f>IF(L76=0,0,-AL35/L76)</f>
        <v>0</v>
      </c>
      <c r="M90" s="416">
        <f>IF(M76=0,0,-AM35/M76)</f>
        <v>0</v>
      </c>
      <c r="N90" s="436">
        <f>IF(N76=0,0,-AN35/N76)</f>
        <v>0</v>
      </c>
      <c r="O90" s="416"/>
      <c r="P90" s="412" t="s">
        <v>70</v>
      </c>
      <c r="Q90" s="435">
        <f>IF(Q76=0,0,-AX35/Q76)</f>
        <v>0</v>
      </c>
      <c r="R90" s="416">
        <f>IF(R76=0,0,-AY35/R76)</f>
        <v>0</v>
      </c>
      <c r="S90" s="436">
        <f>IF(S76=0,0,-AZ35/S76)</f>
        <v>0</v>
      </c>
      <c r="T90" s="416"/>
      <c r="U90" s="406"/>
      <c r="V90" s="406"/>
      <c r="W90" s="406"/>
      <c r="X90" s="406"/>
    </row>
    <row r="91" spans="1:24" ht="12.75">
      <c r="A91" s="412" t="s">
        <v>80</v>
      </c>
      <c r="B91" s="437">
        <f>+IF(L36=0,0,L36/B77)</f>
        <v>0</v>
      </c>
      <c r="C91" s="438">
        <f>+IF(M36=0,0,M36/C77)</f>
        <v>0</v>
      </c>
      <c r="D91" s="439">
        <f>+IF(N36=0,0,N36/D77)</f>
        <v>0</v>
      </c>
      <c r="E91" s="417"/>
      <c r="F91" s="412" t="s">
        <v>80</v>
      </c>
      <c r="G91" s="437">
        <f>+IF(Z36=0,0,Z36/G77)</f>
        <v>0</v>
      </c>
      <c r="H91" s="438">
        <f>+IF(AA36=0,0,AA36/H77)</f>
        <v>0</v>
      </c>
      <c r="I91" s="439">
        <f>+IF(AB36=0,0,AB36/I77)</f>
        <v>0</v>
      </c>
      <c r="J91" s="417"/>
      <c r="K91" s="412" t="s">
        <v>80</v>
      </c>
      <c r="L91" s="437">
        <f>+IF(AL36=0,0,AL36/L77)</f>
        <v>0</v>
      </c>
      <c r="M91" s="438">
        <f>+IF(AM36=0,0,AM36/M77)</f>
        <v>0</v>
      </c>
      <c r="N91" s="439">
        <f>+IF(AN36=0,0,AN36/N77)</f>
        <v>0</v>
      </c>
      <c r="O91" s="417"/>
      <c r="P91" s="412" t="s">
        <v>80</v>
      </c>
      <c r="Q91" s="437">
        <f>+IF(AX36=0,0,AX36/Q77)</f>
        <v>0</v>
      </c>
      <c r="R91" s="438">
        <f>+IF(AY36=0,0,AY36/R77)</f>
        <v>0</v>
      </c>
      <c r="S91" s="439">
        <f>+IF(AZ36=0,0,AZ36/S77)</f>
        <v>0</v>
      </c>
      <c r="T91" s="417"/>
      <c r="U91" s="406"/>
      <c r="V91" s="406"/>
      <c r="W91" s="406"/>
      <c r="X91" s="406"/>
    </row>
    <row r="92" spans="1:24" ht="12.75">
      <c r="A92" s="412" t="s">
        <v>77</v>
      </c>
      <c r="B92" s="435">
        <f>L38/B79</f>
        <v>0.009340172243356447</v>
      </c>
      <c r="C92" s="416">
        <f>M38/C79</f>
        <v>0.010206483437493186</v>
      </c>
      <c r="D92" s="436">
        <f>N38/D79</f>
        <v>0.009831427134045686</v>
      </c>
      <c r="E92" s="416"/>
      <c r="F92" s="412" t="s">
        <v>77</v>
      </c>
      <c r="G92" s="435">
        <f>Z38/G79</f>
        <v>0.010129525821549683</v>
      </c>
      <c r="H92" s="416">
        <f>AA38/H79</f>
        <v>0.0104569359062363</v>
      </c>
      <c r="I92" s="436">
        <f>AB38/I79</f>
        <v>0.010315187606654322</v>
      </c>
      <c r="J92" s="416"/>
      <c r="K92" s="412" t="s">
        <v>77</v>
      </c>
      <c r="L92" s="435">
        <f>AL38/L79</f>
        <v>10.486413053074784</v>
      </c>
      <c r="M92" s="416">
        <f>AM38/M79</f>
        <v>10.486413053074786</v>
      </c>
      <c r="N92" s="436">
        <f>AN38/N79</f>
        <v>10.486413053074786</v>
      </c>
      <c r="O92" s="416"/>
      <c r="P92" s="412" t="s">
        <v>77</v>
      </c>
      <c r="Q92" s="435">
        <f>AX38/Q79</f>
        <v>10.612523532148229</v>
      </c>
      <c r="R92" s="416">
        <f>AY38/R79</f>
        <v>10.61252353214823</v>
      </c>
      <c r="S92" s="436">
        <f>AZ38/S79</f>
        <v>10.612523532148227</v>
      </c>
      <c r="T92" s="416"/>
      <c r="U92" s="406"/>
      <c r="V92" s="406"/>
      <c r="W92" s="406"/>
      <c r="X92" s="406"/>
    </row>
    <row r="93" spans="1:24" ht="12.75">
      <c r="A93" s="406"/>
      <c r="B93" s="428"/>
      <c r="C93" s="410"/>
      <c r="D93" s="429"/>
      <c r="E93" s="410"/>
      <c r="F93" s="406"/>
      <c r="G93" s="428"/>
      <c r="H93" s="410"/>
      <c r="I93" s="429"/>
      <c r="J93" s="410"/>
      <c r="K93" s="406"/>
      <c r="L93" s="428"/>
      <c r="M93" s="410"/>
      <c r="N93" s="429"/>
      <c r="O93" s="410"/>
      <c r="P93" s="406"/>
      <c r="Q93" s="428"/>
      <c r="R93" s="410"/>
      <c r="S93" s="429"/>
      <c r="T93" s="410"/>
      <c r="U93" s="406"/>
      <c r="V93" s="406"/>
      <c r="W93" s="406"/>
      <c r="X93" s="406"/>
    </row>
    <row r="94" spans="1:24" ht="12.75">
      <c r="A94" s="418" t="s">
        <v>78</v>
      </c>
      <c r="B94" s="428"/>
      <c r="C94" s="410"/>
      <c r="D94" s="429"/>
      <c r="E94" s="410"/>
      <c r="F94" s="418" t="s">
        <v>78</v>
      </c>
      <c r="G94" s="428"/>
      <c r="H94" s="410"/>
      <c r="I94" s="429"/>
      <c r="J94" s="410"/>
      <c r="K94" s="418" t="s">
        <v>78</v>
      </c>
      <c r="L94" s="428"/>
      <c r="M94" s="410"/>
      <c r="N94" s="429"/>
      <c r="O94" s="410"/>
      <c r="P94" s="418" t="s">
        <v>78</v>
      </c>
      <c r="Q94" s="428"/>
      <c r="R94" s="410"/>
      <c r="S94" s="429"/>
      <c r="T94" s="410"/>
      <c r="U94" s="406"/>
      <c r="V94" s="406"/>
      <c r="W94" s="406"/>
      <c r="X94" s="406"/>
    </row>
    <row r="95" spans="1:24" ht="16.8" thickBot="1">
      <c r="A95" s="412" t="s">
        <v>61</v>
      </c>
      <c r="B95" s="420">
        <f>+'7-2012-BY'!T10</f>
        <v>10569510.17</v>
      </c>
      <c r="C95" s="440">
        <f>+'7-2012-BY'!T9</f>
        <v>13843760.61</v>
      </c>
      <c r="D95" s="422">
        <f>SUM(B95:C95)</f>
        <v>24413270.78</v>
      </c>
      <c r="E95" s="411"/>
      <c r="F95" s="412" t="s">
        <v>61</v>
      </c>
      <c r="G95" s="420">
        <f>+'10-2012-BY'!T10</f>
        <v>10569510.17</v>
      </c>
      <c r="H95" s="440">
        <f>+'10-2012-BY'!T9</f>
        <v>13843760.61</v>
      </c>
      <c r="I95" s="422">
        <f>SUM(G95:H95)</f>
        <v>24413270.78</v>
      </c>
      <c r="J95" s="411"/>
      <c r="K95" s="412" t="s">
        <v>61</v>
      </c>
      <c r="L95" s="420">
        <f>+L72*L82</f>
        <v>10867778.005019177</v>
      </c>
      <c r="M95" s="440">
        <f>+M72*M82</f>
        <v>13857854.493172603</v>
      </c>
      <c r="N95" s="422">
        <f>SUM(L95:M95)</f>
        <v>24725632.49819178</v>
      </c>
      <c r="O95" s="411"/>
      <c r="P95" s="412" t="s">
        <v>61</v>
      </c>
      <c r="Q95" s="420">
        <f>+Q72*Q82</f>
        <v>10517204.520986302</v>
      </c>
      <c r="R95" s="440">
        <f>+R72*R82</f>
        <v>13410826.928876715</v>
      </c>
      <c r="S95" s="422">
        <f>SUM(Q95:R95)</f>
        <v>23928031.449863017</v>
      </c>
      <c r="T95" s="411"/>
      <c r="U95" s="406"/>
      <c r="V95" s="406"/>
      <c r="W95" s="406"/>
      <c r="X95" s="406"/>
    </row>
  </sheetData>
  <mergeCells count="13">
    <mergeCell ref="V1:X1"/>
    <mergeCell ref="B69:D69"/>
    <mergeCell ref="B40:D40"/>
    <mergeCell ref="B1:D1"/>
    <mergeCell ref="L69:N69"/>
    <mergeCell ref="Q40:S40"/>
    <mergeCell ref="Q69:S69"/>
    <mergeCell ref="G69:I69"/>
    <mergeCell ref="L1:N1"/>
    <mergeCell ref="Q1:S1"/>
    <mergeCell ref="L40:N40"/>
    <mergeCell ref="G40:I40"/>
    <mergeCell ref="G1:I1"/>
  </mergeCells>
  <printOptions horizontalCentered="1" verticalCentered="1"/>
  <pageMargins left="0.75" right="0.75" top="1.69642857142857" bottom="1.3244047619047619" header="0.5" footer="0.416666666666667"/>
  <pageSetup horizontalDpi="600" verticalDpi="600" orientation="portrait" r:id="rId1"/>
  <headerFooter alignWithMargins="0">
    <oddHeader>&amp;C&amp;"Century Schoolbook,Bold"&amp;12Big Rivers Electric Corporation
Case No. 2012-00535
Attachment to Response for PSC 2-7 (a)
Supporting calculation for Smelter base fixed energy</oddHeader>
    <oddFooter>&amp;R&amp;"Century Schoolbook,Bold"&amp;12Case No. 2012-00535
Attachment to Response for PSC 2-7 (a)
Witness: John Wolfram 
Page &amp;P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view="pageLayout" zoomScale="80" zoomScalePageLayoutView="80" workbookViewId="0" topLeftCell="N73">
      <selection activeCell="S124" sqref="S124:S131"/>
    </sheetView>
  </sheetViews>
  <sheetFormatPr defaultColWidth="9.140625" defaultRowHeight="12.75"/>
  <cols>
    <col min="1" max="1" width="25.28125" style="442" customWidth="1"/>
    <col min="2" max="2" width="18.7109375" style="442" bestFit="1" customWidth="1"/>
    <col min="3" max="3" width="11.8515625" style="442" customWidth="1"/>
    <col min="4" max="4" width="18.140625" style="442" bestFit="1" customWidth="1"/>
    <col min="5" max="5" width="3.28125" style="442" customWidth="1"/>
    <col min="6" max="6" width="26.8515625" style="442" customWidth="1"/>
    <col min="7" max="7" width="18.140625" style="442" bestFit="1" customWidth="1"/>
    <col min="8" max="8" width="11.7109375" style="442" customWidth="1"/>
    <col min="9" max="9" width="17.28125" style="442" bestFit="1" customWidth="1"/>
    <col min="10" max="10" width="3.28125" style="442" customWidth="1"/>
    <col min="11" max="11" width="27.8515625" style="442" customWidth="1"/>
    <col min="12" max="12" width="17.28125" style="442" bestFit="1" customWidth="1"/>
    <col min="13" max="13" width="11.7109375" style="442" customWidth="1"/>
    <col min="14" max="14" width="17.28125" style="442" bestFit="1" customWidth="1"/>
    <col min="15" max="15" width="3.28125" style="442" customWidth="1"/>
    <col min="16" max="16" width="25.8515625" style="442" customWidth="1"/>
    <col min="17" max="17" width="17.28125" style="442" bestFit="1" customWidth="1"/>
    <col min="18" max="18" width="11.7109375" style="442" customWidth="1"/>
    <col min="19" max="19" width="17.28125" style="442" bestFit="1" customWidth="1"/>
    <col min="20" max="20" width="3.28125" style="442" customWidth="1"/>
    <col min="21" max="21" width="25.00390625" style="442" customWidth="1"/>
    <col min="22" max="22" width="16.421875" style="442" customWidth="1"/>
    <col min="23" max="23" width="11.8515625" style="442" customWidth="1"/>
    <col min="24" max="24" width="17.8515625" style="442" customWidth="1"/>
    <col min="25" max="25" width="4.421875" style="442" customWidth="1"/>
    <col min="26" max="26" width="14.00390625" style="442" customWidth="1"/>
    <col min="27" max="27" width="11.7109375" style="442" customWidth="1"/>
    <col min="28" max="28" width="14.00390625" style="442" customWidth="1"/>
    <col min="29" max="29" width="4.421875" style="442" customWidth="1"/>
    <col min="30" max="30" width="14.00390625" style="442" customWidth="1"/>
    <col min="31" max="31" width="11.7109375" style="442" customWidth="1"/>
    <col min="32" max="32" width="14.00390625" style="442" customWidth="1"/>
    <col min="33" max="33" width="4.421875" style="442" customWidth="1"/>
    <col min="34" max="34" width="14.00390625" style="442" customWidth="1"/>
    <col min="35" max="35" width="11.7109375" style="442" customWidth="1"/>
    <col min="36" max="36" width="14.00390625" style="442" customWidth="1"/>
    <col min="37" max="37" width="4.421875" style="442" customWidth="1"/>
    <col min="38" max="38" width="14.00390625" style="442" customWidth="1"/>
    <col min="39" max="39" width="11.7109375" style="442" customWidth="1"/>
    <col min="40" max="40" width="14.00390625" style="442" customWidth="1"/>
    <col min="41" max="41" width="4.421875" style="442" customWidth="1"/>
    <col min="42" max="42" width="14.00390625" style="442" customWidth="1"/>
    <col min="43" max="43" width="11.7109375" style="442" customWidth="1"/>
    <col min="44" max="44" width="14.00390625" style="442" customWidth="1"/>
    <col min="45" max="45" width="4.421875" style="442" customWidth="1"/>
    <col min="46" max="46" width="14.00390625" style="442" customWidth="1"/>
    <col min="47" max="47" width="11.7109375" style="442" customWidth="1"/>
    <col min="48" max="48" width="14.00390625" style="442" customWidth="1"/>
    <col min="49" max="49" width="4.421875" style="442" customWidth="1"/>
    <col min="50" max="50" width="14.00390625" style="442" customWidth="1"/>
    <col min="51" max="51" width="12.8515625" style="442" customWidth="1"/>
    <col min="52" max="52" width="14.00390625" style="442" customWidth="1"/>
    <col min="53" max="53" width="3.00390625" style="442" customWidth="1"/>
    <col min="54" max="54" width="15.28125" style="442" bestFit="1" customWidth="1"/>
    <col min="55" max="55" width="15.140625" style="442" customWidth="1"/>
    <col min="56" max="56" width="17.140625" style="442" customWidth="1"/>
    <col min="57" max="244" width="9.140625" style="442" customWidth="1"/>
    <col min="245" max="245" width="31.57421875" style="442" customWidth="1"/>
    <col min="246" max="248" width="11.7109375" style="442" bestFit="1" customWidth="1"/>
    <col min="249" max="249" width="5.00390625" style="442" customWidth="1"/>
    <col min="250" max="250" width="13.28125" style="442" customWidth="1"/>
    <col min="251" max="252" width="11.7109375" style="442" customWidth="1"/>
    <col min="253" max="253" width="5.00390625" style="442" customWidth="1"/>
    <col min="254" max="256" width="11.7109375" style="442" bestFit="1" customWidth="1"/>
    <col min="257" max="500" width="9.140625" style="442" customWidth="1"/>
    <col min="501" max="501" width="31.57421875" style="442" customWidth="1"/>
    <col min="502" max="504" width="11.7109375" style="442" bestFit="1" customWidth="1"/>
    <col min="505" max="505" width="5.00390625" style="442" customWidth="1"/>
    <col min="506" max="506" width="13.28125" style="442" customWidth="1"/>
    <col min="507" max="508" width="11.7109375" style="442" customWidth="1"/>
    <col min="509" max="509" width="5.00390625" style="442" customWidth="1"/>
    <col min="510" max="512" width="11.7109375" style="442" bestFit="1" customWidth="1"/>
    <col min="513" max="756" width="9.140625" style="442" customWidth="1"/>
    <col min="757" max="757" width="31.57421875" style="442" customWidth="1"/>
    <col min="758" max="760" width="11.7109375" style="442" bestFit="1" customWidth="1"/>
    <col min="761" max="761" width="5.00390625" style="442" customWidth="1"/>
    <col min="762" max="762" width="13.28125" style="442" customWidth="1"/>
    <col min="763" max="764" width="11.7109375" style="442" customWidth="1"/>
    <col min="765" max="765" width="5.00390625" style="442" customWidth="1"/>
    <col min="766" max="768" width="11.7109375" style="442" bestFit="1" customWidth="1"/>
    <col min="769" max="1012" width="9.140625" style="442" customWidth="1"/>
    <col min="1013" max="1013" width="31.57421875" style="442" customWidth="1"/>
    <col min="1014" max="1016" width="11.7109375" style="442" bestFit="1" customWidth="1"/>
    <col min="1017" max="1017" width="5.00390625" style="442" customWidth="1"/>
    <col min="1018" max="1018" width="13.28125" style="442" customWidth="1"/>
    <col min="1019" max="1020" width="11.7109375" style="442" customWidth="1"/>
    <col min="1021" max="1021" width="5.00390625" style="442" customWidth="1"/>
    <col min="1022" max="1024" width="11.7109375" style="442" bestFit="1" customWidth="1"/>
    <col min="1025" max="1268" width="9.140625" style="442" customWidth="1"/>
    <col min="1269" max="1269" width="31.57421875" style="442" customWidth="1"/>
    <col min="1270" max="1272" width="11.7109375" style="442" bestFit="1" customWidth="1"/>
    <col min="1273" max="1273" width="5.00390625" style="442" customWidth="1"/>
    <col min="1274" max="1274" width="13.28125" style="442" customWidth="1"/>
    <col min="1275" max="1276" width="11.7109375" style="442" customWidth="1"/>
    <col min="1277" max="1277" width="5.00390625" style="442" customWidth="1"/>
    <col min="1278" max="1280" width="11.7109375" style="442" bestFit="1" customWidth="1"/>
    <col min="1281" max="1524" width="9.140625" style="442" customWidth="1"/>
    <col min="1525" max="1525" width="31.57421875" style="442" customWidth="1"/>
    <col min="1526" max="1528" width="11.7109375" style="442" bestFit="1" customWidth="1"/>
    <col min="1529" max="1529" width="5.00390625" style="442" customWidth="1"/>
    <col min="1530" max="1530" width="13.28125" style="442" customWidth="1"/>
    <col min="1531" max="1532" width="11.7109375" style="442" customWidth="1"/>
    <col min="1533" max="1533" width="5.00390625" style="442" customWidth="1"/>
    <col min="1534" max="1536" width="11.7109375" style="442" bestFit="1" customWidth="1"/>
    <col min="1537" max="1780" width="9.140625" style="442" customWidth="1"/>
    <col min="1781" max="1781" width="31.57421875" style="442" customWidth="1"/>
    <col min="1782" max="1784" width="11.7109375" style="442" bestFit="1" customWidth="1"/>
    <col min="1785" max="1785" width="5.00390625" style="442" customWidth="1"/>
    <col min="1786" max="1786" width="13.28125" style="442" customWidth="1"/>
    <col min="1787" max="1788" width="11.7109375" style="442" customWidth="1"/>
    <col min="1789" max="1789" width="5.00390625" style="442" customWidth="1"/>
    <col min="1790" max="1792" width="11.7109375" style="442" bestFit="1" customWidth="1"/>
    <col min="1793" max="2036" width="9.140625" style="442" customWidth="1"/>
    <col min="2037" max="2037" width="31.57421875" style="442" customWidth="1"/>
    <col min="2038" max="2040" width="11.7109375" style="442" bestFit="1" customWidth="1"/>
    <col min="2041" max="2041" width="5.00390625" style="442" customWidth="1"/>
    <col min="2042" max="2042" width="13.28125" style="442" customWidth="1"/>
    <col min="2043" max="2044" width="11.7109375" style="442" customWidth="1"/>
    <col min="2045" max="2045" width="5.00390625" style="442" customWidth="1"/>
    <col min="2046" max="2048" width="11.7109375" style="442" bestFit="1" customWidth="1"/>
    <col min="2049" max="2292" width="9.140625" style="442" customWidth="1"/>
    <col min="2293" max="2293" width="31.57421875" style="442" customWidth="1"/>
    <col min="2294" max="2296" width="11.7109375" style="442" bestFit="1" customWidth="1"/>
    <col min="2297" max="2297" width="5.00390625" style="442" customWidth="1"/>
    <col min="2298" max="2298" width="13.28125" style="442" customWidth="1"/>
    <col min="2299" max="2300" width="11.7109375" style="442" customWidth="1"/>
    <col min="2301" max="2301" width="5.00390625" style="442" customWidth="1"/>
    <col min="2302" max="2304" width="11.7109375" style="442" bestFit="1" customWidth="1"/>
    <col min="2305" max="2548" width="9.140625" style="442" customWidth="1"/>
    <col min="2549" max="2549" width="31.57421875" style="442" customWidth="1"/>
    <col min="2550" max="2552" width="11.7109375" style="442" bestFit="1" customWidth="1"/>
    <col min="2553" max="2553" width="5.00390625" style="442" customWidth="1"/>
    <col min="2554" max="2554" width="13.28125" style="442" customWidth="1"/>
    <col min="2555" max="2556" width="11.7109375" style="442" customWidth="1"/>
    <col min="2557" max="2557" width="5.00390625" style="442" customWidth="1"/>
    <col min="2558" max="2560" width="11.7109375" style="442" bestFit="1" customWidth="1"/>
    <col min="2561" max="2804" width="9.140625" style="442" customWidth="1"/>
    <col min="2805" max="2805" width="31.57421875" style="442" customWidth="1"/>
    <col min="2806" max="2808" width="11.7109375" style="442" bestFit="1" customWidth="1"/>
    <col min="2809" max="2809" width="5.00390625" style="442" customWidth="1"/>
    <col min="2810" max="2810" width="13.28125" style="442" customWidth="1"/>
    <col min="2811" max="2812" width="11.7109375" style="442" customWidth="1"/>
    <col min="2813" max="2813" width="5.00390625" style="442" customWidth="1"/>
    <col min="2814" max="2816" width="11.7109375" style="442" bestFit="1" customWidth="1"/>
    <col min="2817" max="3060" width="9.140625" style="442" customWidth="1"/>
    <col min="3061" max="3061" width="31.57421875" style="442" customWidth="1"/>
    <col min="3062" max="3064" width="11.7109375" style="442" bestFit="1" customWidth="1"/>
    <col min="3065" max="3065" width="5.00390625" style="442" customWidth="1"/>
    <col min="3066" max="3066" width="13.28125" style="442" customWidth="1"/>
    <col min="3067" max="3068" width="11.7109375" style="442" customWidth="1"/>
    <col min="3069" max="3069" width="5.00390625" style="442" customWidth="1"/>
    <col min="3070" max="3072" width="11.7109375" style="442" bestFit="1" customWidth="1"/>
    <col min="3073" max="3316" width="9.140625" style="442" customWidth="1"/>
    <col min="3317" max="3317" width="31.57421875" style="442" customWidth="1"/>
    <col min="3318" max="3320" width="11.7109375" style="442" bestFit="1" customWidth="1"/>
    <col min="3321" max="3321" width="5.00390625" style="442" customWidth="1"/>
    <col min="3322" max="3322" width="13.28125" style="442" customWidth="1"/>
    <col min="3323" max="3324" width="11.7109375" style="442" customWidth="1"/>
    <col min="3325" max="3325" width="5.00390625" style="442" customWidth="1"/>
    <col min="3326" max="3328" width="11.7109375" style="442" bestFit="1" customWidth="1"/>
    <col min="3329" max="3572" width="9.140625" style="442" customWidth="1"/>
    <col min="3573" max="3573" width="31.57421875" style="442" customWidth="1"/>
    <col min="3574" max="3576" width="11.7109375" style="442" bestFit="1" customWidth="1"/>
    <col min="3577" max="3577" width="5.00390625" style="442" customWidth="1"/>
    <col min="3578" max="3578" width="13.28125" style="442" customWidth="1"/>
    <col min="3579" max="3580" width="11.7109375" style="442" customWidth="1"/>
    <col min="3581" max="3581" width="5.00390625" style="442" customWidth="1"/>
    <col min="3582" max="3584" width="11.7109375" style="442" bestFit="1" customWidth="1"/>
    <col min="3585" max="3828" width="9.140625" style="442" customWidth="1"/>
    <col min="3829" max="3829" width="31.57421875" style="442" customWidth="1"/>
    <col min="3830" max="3832" width="11.7109375" style="442" bestFit="1" customWidth="1"/>
    <col min="3833" max="3833" width="5.00390625" style="442" customWidth="1"/>
    <col min="3834" max="3834" width="13.28125" style="442" customWidth="1"/>
    <col min="3835" max="3836" width="11.7109375" style="442" customWidth="1"/>
    <col min="3837" max="3837" width="5.00390625" style="442" customWidth="1"/>
    <col min="3838" max="3840" width="11.7109375" style="442" bestFit="1" customWidth="1"/>
    <col min="3841" max="4084" width="9.140625" style="442" customWidth="1"/>
    <col min="4085" max="4085" width="31.57421875" style="442" customWidth="1"/>
    <col min="4086" max="4088" width="11.7109375" style="442" bestFit="1" customWidth="1"/>
    <col min="4089" max="4089" width="5.00390625" style="442" customWidth="1"/>
    <col min="4090" max="4090" width="13.28125" style="442" customWidth="1"/>
    <col min="4091" max="4092" width="11.7109375" style="442" customWidth="1"/>
    <col min="4093" max="4093" width="5.00390625" style="442" customWidth="1"/>
    <col min="4094" max="4096" width="11.7109375" style="442" bestFit="1" customWidth="1"/>
    <col min="4097" max="4340" width="9.140625" style="442" customWidth="1"/>
    <col min="4341" max="4341" width="31.57421875" style="442" customWidth="1"/>
    <col min="4342" max="4344" width="11.7109375" style="442" bestFit="1" customWidth="1"/>
    <col min="4345" max="4345" width="5.00390625" style="442" customWidth="1"/>
    <col min="4346" max="4346" width="13.28125" style="442" customWidth="1"/>
    <col min="4347" max="4348" width="11.7109375" style="442" customWidth="1"/>
    <col min="4349" max="4349" width="5.00390625" style="442" customWidth="1"/>
    <col min="4350" max="4352" width="11.7109375" style="442" bestFit="1" customWidth="1"/>
    <col min="4353" max="4596" width="9.140625" style="442" customWidth="1"/>
    <col min="4597" max="4597" width="31.57421875" style="442" customWidth="1"/>
    <col min="4598" max="4600" width="11.7109375" style="442" bestFit="1" customWidth="1"/>
    <col min="4601" max="4601" width="5.00390625" style="442" customWidth="1"/>
    <col min="4602" max="4602" width="13.28125" style="442" customWidth="1"/>
    <col min="4603" max="4604" width="11.7109375" style="442" customWidth="1"/>
    <col min="4605" max="4605" width="5.00390625" style="442" customWidth="1"/>
    <col min="4606" max="4608" width="11.7109375" style="442" bestFit="1" customWidth="1"/>
    <col min="4609" max="4852" width="9.140625" style="442" customWidth="1"/>
    <col min="4853" max="4853" width="31.57421875" style="442" customWidth="1"/>
    <col min="4854" max="4856" width="11.7109375" style="442" bestFit="1" customWidth="1"/>
    <col min="4857" max="4857" width="5.00390625" style="442" customWidth="1"/>
    <col min="4858" max="4858" width="13.28125" style="442" customWidth="1"/>
    <col min="4859" max="4860" width="11.7109375" style="442" customWidth="1"/>
    <col min="4861" max="4861" width="5.00390625" style="442" customWidth="1"/>
    <col min="4862" max="4864" width="11.7109375" style="442" bestFit="1" customWidth="1"/>
    <col min="4865" max="5108" width="9.140625" style="442" customWidth="1"/>
    <col min="5109" max="5109" width="31.57421875" style="442" customWidth="1"/>
    <col min="5110" max="5112" width="11.7109375" style="442" bestFit="1" customWidth="1"/>
    <col min="5113" max="5113" width="5.00390625" style="442" customWidth="1"/>
    <col min="5114" max="5114" width="13.28125" style="442" customWidth="1"/>
    <col min="5115" max="5116" width="11.7109375" style="442" customWidth="1"/>
    <col min="5117" max="5117" width="5.00390625" style="442" customWidth="1"/>
    <col min="5118" max="5120" width="11.7109375" style="442" bestFit="1" customWidth="1"/>
    <col min="5121" max="5364" width="9.140625" style="442" customWidth="1"/>
    <col min="5365" max="5365" width="31.57421875" style="442" customWidth="1"/>
    <col min="5366" max="5368" width="11.7109375" style="442" bestFit="1" customWidth="1"/>
    <col min="5369" max="5369" width="5.00390625" style="442" customWidth="1"/>
    <col min="5370" max="5370" width="13.28125" style="442" customWidth="1"/>
    <col min="5371" max="5372" width="11.7109375" style="442" customWidth="1"/>
    <col min="5373" max="5373" width="5.00390625" style="442" customWidth="1"/>
    <col min="5374" max="5376" width="11.7109375" style="442" bestFit="1" customWidth="1"/>
    <col min="5377" max="5620" width="9.140625" style="442" customWidth="1"/>
    <col min="5621" max="5621" width="31.57421875" style="442" customWidth="1"/>
    <col min="5622" max="5624" width="11.7109375" style="442" bestFit="1" customWidth="1"/>
    <col min="5625" max="5625" width="5.00390625" style="442" customWidth="1"/>
    <col min="5626" max="5626" width="13.28125" style="442" customWidth="1"/>
    <col min="5627" max="5628" width="11.7109375" style="442" customWidth="1"/>
    <col min="5629" max="5629" width="5.00390625" style="442" customWidth="1"/>
    <col min="5630" max="5632" width="11.7109375" style="442" bestFit="1" customWidth="1"/>
    <col min="5633" max="5876" width="9.140625" style="442" customWidth="1"/>
    <col min="5877" max="5877" width="31.57421875" style="442" customWidth="1"/>
    <col min="5878" max="5880" width="11.7109375" style="442" bestFit="1" customWidth="1"/>
    <col min="5881" max="5881" width="5.00390625" style="442" customWidth="1"/>
    <col min="5882" max="5882" width="13.28125" style="442" customWidth="1"/>
    <col min="5883" max="5884" width="11.7109375" style="442" customWidth="1"/>
    <col min="5885" max="5885" width="5.00390625" style="442" customWidth="1"/>
    <col min="5886" max="5888" width="11.7109375" style="442" bestFit="1" customWidth="1"/>
    <col min="5889" max="6132" width="9.140625" style="442" customWidth="1"/>
    <col min="6133" max="6133" width="31.57421875" style="442" customWidth="1"/>
    <col min="6134" max="6136" width="11.7109375" style="442" bestFit="1" customWidth="1"/>
    <col min="6137" max="6137" width="5.00390625" style="442" customWidth="1"/>
    <col min="6138" max="6138" width="13.28125" style="442" customWidth="1"/>
    <col min="6139" max="6140" width="11.7109375" style="442" customWidth="1"/>
    <col min="6141" max="6141" width="5.00390625" style="442" customWidth="1"/>
    <col min="6142" max="6144" width="11.7109375" style="442" bestFit="1" customWidth="1"/>
    <col min="6145" max="6388" width="9.140625" style="442" customWidth="1"/>
    <col min="6389" max="6389" width="31.57421875" style="442" customWidth="1"/>
    <col min="6390" max="6392" width="11.7109375" style="442" bestFit="1" customWidth="1"/>
    <col min="6393" max="6393" width="5.00390625" style="442" customWidth="1"/>
    <col min="6394" max="6394" width="13.28125" style="442" customWidth="1"/>
    <col min="6395" max="6396" width="11.7109375" style="442" customWidth="1"/>
    <col min="6397" max="6397" width="5.00390625" style="442" customWidth="1"/>
    <col min="6398" max="6400" width="11.7109375" style="442" bestFit="1" customWidth="1"/>
    <col min="6401" max="6644" width="9.140625" style="442" customWidth="1"/>
    <col min="6645" max="6645" width="31.57421875" style="442" customWidth="1"/>
    <col min="6646" max="6648" width="11.7109375" style="442" bestFit="1" customWidth="1"/>
    <col min="6649" max="6649" width="5.00390625" style="442" customWidth="1"/>
    <col min="6650" max="6650" width="13.28125" style="442" customWidth="1"/>
    <col min="6651" max="6652" width="11.7109375" style="442" customWidth="1"/>
    <col min="6653" max="6653" width="5.00390625" style="442" customWidth="1"/>
    <col min="6654" max="6656" width="11.7109375" style="442" bestFit="1" customWidth="1"/>
    <col min="6657" max="6900" width="9.140625" style="442" customWidth="1"/>
    <col min="6901" max="6901" width="31.57421875" style="442" customWidth="1"/>
    <col min="6902" max="6904" width="11.7109375" style="442" bestFit="1" customWidth="1"/>
    <col min="6905" max="6905" width="5.00390625" style="442" customWidth="1"/>
    <col min="6906" max="6906" width="13.28125" style="442" customWidth="1"/>
    <col min="6907" max="6908" width="11.7109375" style="442" customWidth="1"/>
    <col min="6909" max="6909" width="5.00390625" style="442" customWidth="1"/>
    <col min="6910" max="6912" width="11.7109375" style="442" bestFit="1" customWidth="1"/>
    <col min="6913" max="7156" width="9.140625" style="442" customWidth="1"/>
    <col min="7157" max="7157" width="31.57421875" style="442" customWidth="1"/>
    <col min="7158" max="7160" width="11.7109375" style="442" bestFit="1" customWidth="1"/>
    <col min="7161" max="7161" width="5.00390625" style="442" customWidth="1"/>
    <col min="7162" max="7162" width="13.28125" style="442" customWidth="1"/>
    <col min="7163" max="7164" width="11.7109375" style="442" customWidth="1"/>
    <col min="7165" max="7165" width="5.00390625" style="442" customWidth="1"/>
    <col min="7166" max="7168" width="11.7109375" style="442" bestFit="1" customWidth="1"/>
    <col min="7169" max="7412" width="9.140625" style="442" customWidth="1"/>
    <col min="7413" max="7413" width="31.57421875" style="442" customWidth="1"/>
    <col min="7414" max="7416" width="11.7109375" style="442" bestFit="1" customWidth="1"/>
    <col min="7417" max="7417" width="5.00390625" style="442" customWidth="1"/>
    <col min="7418" max="7418" width="13.28125" style="442" customWidth="1"/>
    <col min="7419" max="7420" width="11.7109375" style="442" customWidth="1"/>
    <col min="7421" max="7421" width="5.00390625" style="442" customWidth="1"/>
    <col min="7422" max="7424" width="11.7109375" style="442" bestFit="1" customWidth="1"/>
    <col min="7425" max="7668" width="9.140625" style="442" customWidth="1"/>
    <col min="7669" max="7669" width="31.57421875" style="442" customWidth="1"/>
    <col min="7670" max="7672" width="11.7109375" style="442" bestFit="1" customWidth="1"/>
    <col min="7673" max="7673" width="5.00390625" style="442" customWidth="1"/>
    <col min="7674" max="7674" width="13.28125" style="442" customWidth="1"/>
    <col min="7675" max="7676" width="11.7109375" style="442" customWidth="1"/>
    <col min="7677" max="7677" width="5.00390625" style="442" customWidth="1"/>
    <col min="7678" max="7680" width="11.7109375" style="442" bestFit="1" customWidth="1"/>
    <col min="7681" max="7924" width="9.140625" style="442" customWidth="1"/>
    <col min="7925" max="7925" width="31.57421875" style="442" customWidth="1"/>
    <col min="7926" max="7928" width="11.7109375" style="442" bestFit="1" customWidth="1"/>
    <col min="7929" max="7929" width="5.00390625" style="442" customWidth="1"/>
    <col min="7930" max="7930" width="13.28125" style="442" customWidth="1"/>
    <col min="7931" max="7932" width="11.7109375" style="442" customWidth="1"/>
    <col min="7933" max="7933" width="5.00390625" style="442" customWidth="1"/>
    <col min="7934" max="7936" width="11.7109375" style="442" bestFit="1" customWidth="1"/>
    <col min="7937" max="8180" width="9.140625" style="442" customWidth="1"/>
    <col min="8181" max="8181" width="31.57421875" style="442" customWidth="1"/>
    <col min="8182" max="8184" width="11.7109375" style="442" bestFit="1" customWidth="1"/>
    <col min="8185" max="8185" width="5.00390625" style="442" customWidth="1"/>
    <col min="8186" max="8186" width="13.28125" style="442" customWidth="1"/>
    <col min="8187" max="8188" width="11.7109375" style="442" customWidth="1"/>
    <col min="8189" max="8189" width="5.00390625" style="442" customWidth="1"/>
    <col min="8190" max="8192" width="11.7109375" style="442" bestFit="1" customWidth="1"/>
    <col min="8193" max="8436" width="9.140625" style="442" customWidth="1"/>
    <col min="8437" max="8437" width="31.57421875" style="442" customWidth="1"/>
    <col min="8438" max="8440" width="11.7109375" style="442" bestFit="1" customWidth="1"/>
    <col min="8441" max="8441" width="5.00390625" style="442" customWidth="1"/>
    <col min="8442" max="8442" width="13.28125" style="442" customWidth="1"/>
    <col min="8443" max="8444" width="11.7109375" style="442" customWidth="1"/>
    <col min="8445" max="8445" width="5.00390625" style="442" customWidth="1"/>
    <col min="8446" max="8448" width="11.7109375" style="442" bestFit="1" customWidth="1"/>
    <col min="8449" max="8692" width="9.140625" style="442" customWidth="1"/>
    <col min="8693" max="8693" width="31.57421875" style="442" customWidth="1"/>
    <col min="8694" max="8696" width="11.7109375" style="442" bestFit="1" customWidth="1"/>
    <col min="8697" max="8697" width="5.00390625" style="442" customWidth="1"/>
    <col min="8698" max="8698" width="13.28125" style="442" customWidth="1"/>
    <col min="8699" max="8700" width="11.7109375" style="442" customWidth="1"/>
    <col min="8701" max="8701" width="5.00390625" style="442" customWidth="1"/>
    <col min="8702" max="8704" width="11.7109375" style="442" bestFit="1" customWidth="1"/>
    <col min="8705" max="8948" width="9.140625" style="442" customWidth="1"/>
    <col min="8949" max="8949" width="31.57421875" style="442" customWidth="1"/>
    <col min="8950" max="8952" width="11.7109375" style="442" bestFit="1" customWidth="1"/>
    <col min="8953" max="8953" width="5.00390625" style="442" customWidth="1"/>
    <col min="8954" max="8954" width="13.28125" style="442" customWidth="1"/>
    <col min="8955" max="8956" width="11.7109375" style="442" customWidth="1"/>
    <col min="8957" max="8957" width="5.00390625" style="442" customWidth="1"/>
    <col min="8958" max="8960" width="11.7109375" style="442" bestFit="1" customWidth="1"/>
    <col min="8961" max="9204" width="9.140625" style="442" customWidth="1"/>
    <col min="9205" max="9205" width="31.57421875" style="442" customWidth="1"/>
    <col min="9206" max="9208" width="11.7109375" style="442" bestFit="1" customWidth="1"/>
    <col min="9209" max="9209" width="5.00390625" style="442" customWidth="1"/>
    <col min="9210" max="9210" width="13.28125" style="442" customWidth="1"/>
    <col min="9211" max="9212" width="11.7109375" style="442" customWidth="1"/>
    <col min="9213" max="9213" width="5.00390625" style="442" customWidth="1"/>
    <col min="9214" max="9216" width="11.7109375" style="442" bestFit="1" customWidth="1"/>
    <col min="9217" max="9460" width="9.140625" style="442" customWidth="1"/>
    <col min="9461" max="9461" width="31.57421875" style="442" customWidth="1"/>
    <col min="9462" max="9464" width="11.7109375" style="442" bestFit="1" customWidth="1"/>
    <col min="9465" max="9465" width="5.00390625" style="442" customWidth="1"/>
    <col min="9466" max="9466" width="13.28125" style="442" customWidth="1"/>
    <col min="9467" max="9468" width="11.7109375" style="442" customWidth="1"/>
    <col min="9469" max="9469" width="5.00390625" style="442" customWidth="1"/>
    <col min="9470" max="9472" width="11.7109375" style="442" bestFit="1" customWidth="1"/>
    <col min="9473" max="9716" width="9.140625" style="442" customWidth="1"/>
    <col min="9717" max="9717" width="31.57421875" style="442" customWidth="1"/>
    <col min="9718" max="9720" width="11.7109375" style="442" bestFit="1" customWidth="1"/>
    <col min="9721" max="9721" width="5.00390625" style="442" customWidth="1"/>
    <col min="9722" max="9722" width="13.28125" style="442" customWidth="1"/>
    <col min="9723" max="9724" width="11.7109375" style="442" customWidth="1"/>
    <col min="9725" max="9725" width="5.00390625" style="442" customWidth="1"/>
    <col min="9726" max="9728" width="11.7109375" style="442" bestFit="1" customWidth="1"/>
    <col min="9729" max="9972" width="9.140625" style="442" customWidth="1"/>
    <col min="9973" max="9973" width="31.57421875" style="442" customWidth="1"/>
    <col min="9974" max="9976" width="11.7109375" style="442" bestFit="1" customWidth="1"/>
    <col min="9977" max="9977" width="5.00390625" style="442" customWidth="1"/>
    <col min="9978" max="9978" width="13.28125" style="442" customWidth="1"/>
    <col min="9979" max="9980" width="11.7109375" style="442" customWidth="1"/>
    <col min="9981" max="9981" width="5.00390625" style="442" customWidth="1"/>
    <col min="9982" max="9984" width="11.7109375" style="442" bestFit="1" customWidth="1"/>
    <col min="9985" max="10228" width="9.140625" style="442" customWidth="1"/>
    <col min="10229" max="10229" width="31.57421875" style="442" customWidth="1"/>
    <col min="10230" max="10232" width="11.7109375" style="442" bestFit="1" customWidth="1"/>
    <col min="10233" max="10233" width="5.00390625" style="442" customWidth="1"/>
    <col min="10234" max="10234" width="13.28125" style="442" customWidth="1"/>
    <col min="10235" max="10236" width="11.7109375" style="442" customWidth="1"/>
    <col min="10237" max="10237" width="5.00390625" style="442" customWidth="1"/>
    <col min="10238" max="10240" width="11.7109375" style="442" bestFit="1" customWidth="1"/>
    <col min="10241" max="10484" width="9.140625" style="442" customWidth="1"/>
    <col min="10485" max="10485" width="31.57421875" style="442" customWidth="1"/>
    <col min="10486" max="10488" width="11.7109375" style="442" bestFit="1" customWidth="1"/>
    <col min="10489" max="10489" width="5.00390625" style="442" customWidth="1"/>
    <col min="10490" max="10490" width="13.28125" style="442" customWidth="1"/>
    <col min="10491" max="10492" width="11.7109375" style="442" customWidth="1"/>
    <col min="10493" max="10493" width="5.00390625" style="442" customWidth="1"/>
    <col min="10494" max="10496" width="11.7109375" style="442" bestFit="1" customWidth="1"/>
    <col min="10497" max="10740" width="9.140625" style="442" customWidth="1"/>
    <col min="10741" max="10741" width="31.57421875" style="442" customWidth="1"/>
    <col min="10742" max="10744" width="11.7109375" style="442" bestFit="1" customWidth="1"/>
    <col min="10745" max="10745" width="5.00390625" style="442" customWidth="1"/>
    <col min="10746" max="10746" width="13.28125" style="442" customWidth="1"/>
    <col min="10747" max="10748" width="11.7109375" style="442" customWidth="1"/>
    <col min="10749" max="10749" width="5.00390625" style="442" customWidth="1"/>
    <col min="10750" max="10752" width="11.7109375" style="442" bestFit="1" customWidth="1"/>
    <col min="10753" max="10996" width="9.140625" style="442" customWidth="1"/>
    <col min="10997" max="10997" width="31.57421875" style="442" customWidth="1"/>
    <col min="10998" max="11000" width="11.7109375" style="442" bestFit="1" customWidth="1"/>
    <col min="11001" max="11001" width="5.00390625" style="442" customWidth="1"/>
    <col min="11002" max="11002" width="13.28125" style="442" customWidth="1"/>
    <col min="11003" max="11004" width="11.7109375" style="442" customWidth="1"/>
    <col min="11005" max="11005" width="5.00390625" style="442" customWidth="1"/>
    <col min="11006" max="11008" width="11.7109375" style="442" bestFit="1" customWidth="1"/>
    <col min="11009" max="11252" width="9.140625" style="442" customWidth="1"/>
    <col min="11253" max="11253" width="31.57421875" style="442" customWidth="1"/>
    <col min="11254" max="11256" width="11.7109375" style="442" bestFit="1" customWidth="1"/>
    <col min="11257" max="11257" width="5.00390625" style="442" customWidth="1"/>
    <col min="11258" max="11258" width="13.28125" style="442" customWidth="1"/>
    <col min="11259" max="11260" width="11.7109375" style="442" customWidth="1"/>
    <col min="11261" max="11261" width="5.00390625" style="442" customWidth="1"/>
    <col min="11262" max="11264" width="11.7109375" style="442" bestFit="1" customWidth="1"/>
    <col min="11265" max="11508" width="9.140625" style="442" customWidth="1"/>
    <col min="11509" max="11509" width="31.57421875" style="442" customWidth="1"/>
    <col min="11510" max="11512" width="11.7109375" style="442" bestFit="1" customWidth="1"/>
    <col min="11513" max="11513" width="5.00390625" style="442" customWidth="1"/>
    <col min="11514" max="11514" width="13.28125" style="442" customWidth="1"/>
    <col min="11515" max="11516" width="11.7109375" style="442" customWidth="1"/>
    <col min="11517" max="11517" width="5.00390625" style="442" customWidth="1"/>
    <col min="11518" max="11520" width="11.7109375" style="442" bestFit="1" customWidth="1"/>
    <col min="11521" max="11764" width="9.140625" style="442" customWidth="1"/>
    <col min="11765" max="11765" width="31.57421875" style="442" customWidth="1"/>
    <col min="11766" max="11768" width="11.7109375" style="442" bestFit="1" customWidth="1"/>
    <col min="11769" max="11769" width="5.00390625" style="442" customWidth="1"/>
    <col min="11770" max="11770" width="13.28125" style="442" customWidth="1"/>
    <col min="11771" max="11772" width="11.7109375" style="442" customWidth="1"/>
    <col min="11773" max="11773" width="5.00390625" style="442" customWidth="1"/>
    <col min="11774" max="11776" width="11.7109375" style="442" bestFit="1" customWidth="1"/>
    <col min="11777" max="12020" width="9.140625" style="442" customWidth="1"/>
    <col min="12021" max="12021" width="31.57421875" style="442" customWidth="1"/>
    <col min="12022" max="12024" width="11.7109375" style="442" bestFit="1" customWidth="1"/>
    <col min="12025" max="12025" width="5.00390625" style="442" customWidth="1"/>
    <col min="12026" max="12026" width="13.28125" style="442" customWidth="1"/>
    <col min="12027" max="12028" width="11.7109375" style="442" customWidth="1"/>
    <col min="12029" max="12029" width="5.00390625" style="442" customWidth="1"/>
    <col min="12030" max="12032" width="11.7109375" style="442" bestFit="1" customWidth="1"/>
    <col min="12033" max="12276" width="9.140625" style="442" customWidth="1"/>
    <col min="12277" max="12277" width="31.57421875" style="442" customWidth="1"/>
    <col min="12278" max="12280" width="11.7109375" style="442" bestFit="1" customWidth="1"/>
    <col min="12281" max="12281" width="5.00390625" style="442" customWidth="1"/>
    <col min="12282" max="12282" width="13.28125" style="442" customWidth="1"/>
    <col min="12283" max="12284" width="11.7109375" style="442" customWidth="1"/>
    <col min="12285" max="12285" width="5.00390625" style="442" customWidth="1"/>
    <col min="12286" max="12288" width="11.7109375" style="442" bestFit="1" customWidth="1"/>
    <col min="12289" max="12532" width="9.140625" style="442" customWidth="1"/>
    <col min="12533" max="12533" width="31.57421875" style="442" customWidth="1"/>
    <col min="12534" max="12536" width="11.7109375" style="442" bestFit="1" customWidth="1"/>
    <col min="12537" max="12537" width="5.00390625" style="442" customWidth="1"/>
    <col min="12538" max="12538" width="13.28125" style="442" customWidth="1"/>
    <col min="12539" max="12540" width="11.7109375" style="442" customWidth="1"/>
    <col min="12541" max="12541" width="5.00390625" style="442" customWidth="1"/>
    <col min="12542" max="12544" width="11.7109375" style="442" bestFit="1" customWidth="1"/>
    <col min="12545" max="12788" width="9.140625" style="442" customWidth="1"/>
    <col min="12789" max="12789" width="31.57421875" style="442" customWidth="1"/>
    <col min="12790" max="12792" width="11.7109375" style="442" bestFit="1" customWidth="1"/>
    <col min="12793" max="12793" width="5.00390625" style="442" customWidth="1"/>
    <col min="12794" max="12794" width="13.28125" style="442" customWidth="1"/>
    <col min="12795" max="12796" width="11.7109375" style="442" customWidth="1"/>
    <col min="12797" max="12797" width="5.00390625" style="442" customWidth="1"/>
    <col min="12798" max="12800" width="11.7109375" style="442" bestFit="1" customWidth="1"/>
    <col min="12801" max="13044" width="9.140625" style="442" customWidth="1"/>
    <col min="13045" max="13045" width="31.57421875" style="442" customWidth="1"/>
    <col min="13046" max="13048" width="11.7109375" style="442" bestFit="1" customWidth="1"/>
    <col min="13049" max="13049" width="5.00390625" style="442" customWidth="1"/>
    <col min="13050" max="13050" width="13.28125" style="442" customWidth="1"/>
    <col min="13051" max="13052" width="11.7109375" style="442" customWidth="1"/>
    <col min="13053" max="13053" width="5.00390625" style="442" customWidth="1"/>
    <col min="13054" max="13056" width="11.7109375" style="442" bestFit="1" customWidth="1"/>
    <col min="13057" max="13300" width="9.140625" style="442" customWidth="1"/>
    <col min="13301" max="13301" width="31.57421875" style="442" customWidth="1"/>
    <col min="13302" max="13304" width="11.7109375" style="442" bestFit="1" customWidth="1"/>
    <col min="13305" max="13305" width="5.00390625" style="442" customWidth="1"/>
    <col min="13306" max="13306" width="13.28125" style="442" customWidth="1"/>
    <col min="13307" max="13308" width="11.7109375" style="442" customWidth="1"/>
    <col min="13309" max="13309" width="5.00390625" style="442" customWidth="1"/>
    <col min="13310" max="13312" width="11.7109375" style="442" bestFit="1" customWidth="1"/>
    <col min="13313" max="13556" width="9.140625" style="442" customWidth="1"/>
    <col min="13557" max="13557" width="31.57421875" style="442" customWidth="1"/>
    <col min="13558" max="13560" width="11.7109375" style="442" bestFit="1" customWidth="1"/>
    <col min="13561" max="13561" width="5.00390625" style="442" customWidth="1"/>
    <col min="13562" max="13562" width="13.28125" style="442" customWidth="1"/>
    <col min="13563" max="13564" width="11.7109375" style="442" customWidth="1"/>
    <col min="13565" max="13565" width="5.00390625" style="442" customWidth="1"/>
    <col min="13566" max="13568" width="11.7109375" style="442" bestFit="1" customWidth="1"/>
    <col min="13569" max="13812" width="9.140625" style="442" customWidth="1"/>
    <col min="13813" max="13813" width="31.57421875" style="442" customWidth="1"/>
    <col min="13814" max="13816" width="11.7109375" style="442" bestFit="1" customWidth="1"/>
    <col min="13817" max="13817" width="5.00390625" style="442" customWidth="1"/>
    <col min="13818" max="13818" width="13.28125" style="442" customWidth="1"/>
    <col min="13819" max="13820" width="11.7109375" style="442" customWidth="1"/>
    <col min="13821" max="13821" width="5.00390625" style="442" customWidth="1"/>
    <col min="13822" max="13824" width="11.7109375" style="442" bestFit="1" customWidth="1"/>
    <col min="13825" max="14068" width="9.140625" style="442" customWidth="1"/>
    <col min="14069" max="14069" width="31.57421875" style="442" customWidth="1"/>
    <col min="14070" max="14072" width="11.7109375" style="442" bestFit="1" customWidth="1"/>
    <col min="14073" max="14073" width="5.00390625" style="442" customWidth="1"/>
    <col min="14074" max="14074" width="13.28125" style="442" customWidth="1"/>
    <col min="14075" max="14076" width="11.7109375" style="442" customWidth="1"/>
    <col min="14077" max="14077" width="5.00390625" style="442" customWidth="1"/>
    <col min="14078" max="14080" width="11.7109375" style="442" bestFit="1" customWidth="1"/>
    <col min="14081" max="14324" width="9.140625" style="442" customWidth="1"/>
    <col min="14325" max="14325" width="31.57421875" style="442" customWidth="1"/>
    <col min="14326" max="14328" width="11.7109375" style="442" bestFit="1" customWidth="1"/>
    <col min="14329" max="14329" width="5.00390625" style="442" customWidth="1"/>
    <col min="14330" max="14330" width="13.28125" style="442" customWidth="1"/>
    <col min="14331" max="14332" width="11.7109375" style="442" customWidth="1"/>
    <col min="14333" max="14333" width="5.00390625" style="442" customWidth="1"/>
    <col min="14334" max="14336" width="11.7109375" style="442" bestFit="1" customWidth="1"/>
    <col min="14337" max="14580" width="9.140625" style="442" customWidth="1"/>
    <col min="14581" max="14581" width="31.57421875" style="442" customWidth="1"/>
    <col min="14582" max="14584" width="11.7109375" style="442" bestFit="1" customWidth="1"/>
    <col min="14585" max="14585" width="5.00390625" style="442" customWidth="1"/>
    <col min="14586" max="14586" width="13.28125" style="442" customWidth="1"/>
    <col min="14587" max="14588" width="11.7109375" style="442" customWidth="1"/>
    <col min="14589" max="14589" width="5.00390625" style="442" customWidth="1"/>
    <col min="14590" max="14592" width="11.7109375" style="442" bestFit="1" customWidth="1"/>
    <col min="14593" max="14836" width="9.140625" style="442" customWidth="1"/>
    <col min="14837" max="14837" width="31.57421875" style="442" customWidth="1"/>
    <col min="14838" max="14840" width="11.7109375" style="442" bestFit="1" customWidth="1"/>
    <col min="14841" max="14841" width="5.00390625" style="442" customWidth="1"/>
    <col min="14842" max="14842" width="13.28125" style="442" customWidth="1"/>
    <col min="14843" max="14844" width="11.7109375" style="442" customWidth="1"/>
    <col min="14845" max="14845" width="5.00390625" style="442" customWidth="1"/>
    <col min="14846" max="14848" width="11.7109375" style="442" bestFit="1" customWidth="1"/>
    <col min="14849" max="15092" width="9.140625" style="442" customWidth="1"/>
    <col min="15093" max="15093" width="31.57421875" style="442" customWidth="1"/>
    <col min="15094" max="15096" width="11.7109375" style="442" bestFit="1" customWidth="1"/>
    <col min="15097" max="15097" width="5.00390625" style="442" customWidth="1"/>
    <col min="15098" max="15098" width="13.28125" style="442" customWidth="1"/>
    <col min="15099" max="15100" width="11.7109375" style="442" customWidth="1"/>
    <col min="15101" max="15101" width="5.00390625" style="442" customWidth="1"/>
    <col min="15102" max="15104" width="11.7109375" style="442" bestFit="1" customWidth="1"/>
    <col min="15105" max="15348" width="9.140625" style="442" customWidth="1"/>
    <col min="15349" max="15349" width="31.57421875" style="442" customWidth="1"/>
    <col min="15350" max="15352" width="11.7109375" style="442" bestFit="1" customWidth="1"/>
    <col min="15353" max="15353" width="5.00390625" style="442" customWidth="1"/>
    <col min="15354" max="15354" width="13.28125" style="442" customWidth="1"/>
    <col min="15355" max="15356" width="11.7109375" style="442" customWidth="1"/>
    <col min="15357" max="15357" width="5.00390625" style="442" customWidth="1"/>
    <col min="15358" max="15360" width="11.7109375" style="442" bestFit="1" customWidth="1"/>
    <col min="15361" max="15604" width="9.140625" style="442" customWidth="1"/>
    <col min="15605" max="15605" width="31.57421875" style="442" customWidth="1"/>
    <col min="15606" max="15608" width="11.7109375" style="442" bestFit="1" customWidth="1"/>
    <col min="15609" max="15609" width="5.00390625" style="442" customWidth="1"/>
    <col min="15610" max="15610" width="13.28125" style="442" customWidth="1"/>
    <col min="15611" max="15612" width="11.7109375" style="442" customWidth="1"/>
    <col min="15613" max="15613" width="5.00390625" style="442" customWidth="1"/>
    <col min="15614" max="15616" width="11.7109375" style="442" bestFit="1" customWidth="1"/>
    <col min="15617" max="15860" width="9.140625" style="442" customWidth="1"/>
    <col min="15861" max="15861" width="31.57421875" style="442" customWidth="1"/>
    <col min="15862" max="15864" width="11.7109375" style="442" bestFit="1" customWidth="1"/>
    <col min="15865" max="15865" width="5.00390625" style="442" customWidth="1"/>
    <col min="15866" max="15866" width="13.28125" style="442" customWidth="1"/>
    <col min="15867" max="15868" width="11.7109375" style="442" customWidth="1"/>
    <col min="15869" max="15869" width="5.00390625" style="442" customWidth="1"/>
    <col min="15870" max="15872" width="11.7109375" style="442" bestFit="1" customWidth="1"/>
    <col min="15873" max="16116" width="9.140625" style="442" customWidth="1"/>
    <col min="16117" max="16117" width="31.57421875" style="442" customWidth="1"/>
    <col min="16118" max="16120" width="11.7109375" style="442" bestFit="1" customWidth="1"/>
    <col min="16121" max="16121" width="5.00390625" style="442" customWidth="1"/>
    <col min="16122" max="16122" width="13.28125" style="442" customWidth="1"/>
    <col min="16123" max="16124" width="11.7109375" style="442" customWidth="1"/>
    <col min="16125" max="16125" width="5.00390625" style="442" customWidth="1"/>
    <col min="16126" max="16128" width="11.7109375" style="442" bestFit="1" customWidth="1"/>
    <col min="16129" max="16384" width="9.140625" style="442" customWidth="1"/>
  </cols>
  <sheetData>
    <row r="1" spans="1:56" ht="9.75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</row>
    <row r="2" spans="1:41" ht="16.2">
      <c r="A2" s="406"/>
      <c r="B2" s="501">
        <v>41518</v>
      </c>
      <c r="C2" s="499"/>
      <c r="D2" s="500"/>
      <c r="E2" s="405"/>
      <c r="F2" s="406"/>
      <c r="G2" s="501">
        <v>41609</v>
      </c>
      <c r="H2" s="499"/>
      <c r="I2" s="500"/>
      <c r="J2" s="405"/>
      <c r="K2" s="406"/>
      <c r="L2" s="501">
        <v>41699</v>
      </c>
      <c r="M2" s="499"/>
      <c r="N2" s="500"/>
      <c r="O2" s="405"/>
      <c r="P2" s="406"/>
      <c r="Q2" s="501">
        <v>41791</v>
      </c>
      <c r="R2" s="499"/>
      <c r="S2" s="500"/>
      <c r="T2" s="405"/>
      <c r="U2" s="406"/>
      <c r="V2" s="498" t="s">
        <v>83</v>
      </c>
      <c r="W2" s="499"/>
      <c r="X2" s="500"/>
      <c r="Y2" s="390"/>
      <c r="AC2" s="390"/>
      <c r="AG2" s="390"/>
      <c r="AK2" s="390"/>
      <c r="AO2" s="390"/>
    </row>
    <row r="3" spans="1:41" ht="16.2">
      <c r="A3" s="406"/>
      <c r="B3" s="426" t="s">
        <v>42</v>
      </c>
      <c r="C3" s="405" t="s">
        <v>43</v>
      </c>
      <c r="D3" s="427" t="s">
        <v>33</v>
      </c>
      <c r="E3" s="405"/>
      <c r="F3" s="406"/>
      <c r="G3" s="426" t="s">
        <v>42</v>
      </c>
      <c r="H3" s="405" t="s">
        <v>43</v>
      </c>
      <c r="I3" s="427" t="s">
        <v>33</v>
      </c>
      <c r="J3" s="405"/>
      <c r="K3" s="406"/>
      <c r="L3" s="426" t="s">
        <v>42</v>
      </c>
      <c r="M3" s="405" t="s">
        <v>43</v>
      </c>
      <c r="N3" s="427" t="s">
        <v>33</v>
      </c>
      <c r="O3" s="405"/>
      <c r="P3" s="406"/>
      <c r="Q3" s="426" t="s">
        <v>42</v>
      </c>
      <c r="R3" s="405" t="s">
        <v>43</v>
      </c>
      <c r="S3" s="427" t="s">
        <v>33</v>
      </c>
      <c r="T3" s="405"/>
      <c r="U3" s="406"/>
      <c r="V3" s="426" t="s">
        <v>42</v>
      </c>
      <c r="W3" s="405" t="s">
        <v>43</v>
      </c>
      <c r="X3" s="427" t="s">
        <v>33</v>
      </c>
      <c r="Y3" s="390"/>
      <c r="AC3" s="390"/>
      <c r="AG3" s="390"/>
      <c r="AK3" s="390"/>
      <c r="AO3" s="390"/>
    </row>
    <row r="4" spans="1:41" ht="16.2">
      <c r="A4" s="409" t="s">
        <v>60</v>
      </c>
      <c r="B4" s="428"/>
      <c r="C4" s="410"/>
      <c r="D4" s="429"/>
      <c r="E4" s="410"/>
      <c r="F4" s="409" t="s">
        <v>60</v>
      </c>
      <c r="G4" s="428"/>
      <c r="H4" s="410"/>
      <c r="I4" s="429"/>
      <c r="J4" s="410"/>
      <c r="K4" s="409" t="s">
        <v>60</v>
      </c>
      <c r="L4" s="428"/>
      <c r="M4" s="410"/>
      <c r="N4" s="429"/>
      <c r="O4" s="410"/>
      <c r="P4" s="409" t="s">
        <v>60</v>
      </c>
      <c r="Q4" s="428"/>
      <c r="R4" s="410"/>
      <c r="S4" s="429"/>
      <c r="T4" s="410"/>
      <c r="U4" s="409" t="s">
        <v>60</v>
      </c>
      <c r="V4" s="428"/>
      <c r="W4" s="410"/>
      <c r="X4" s="429"/>
      <c r="Y4" s="390"/>
      <c r="AC4" s="390"/>
      <c r="AG4" s="390"/>
      <c r="AK4" s="390"/>
      <c r="AO4" s="390"/>
    </row>
    <row r="5" spans="1:41" ht="16.2">
      <c r="A5" s="412" t="s">
        <v>61</v>
      </c>
      <c r="B5" s="413">
        <f>+'[2]Stmts RUS'!$O$10*1000000000</f>
        <v>259660799.99999997</v>
      </c>
      <c r="C5" s="411">
        <f>+'[2]Stmts RUS'!$O$9*1000000</f>
        <v>0</v>
      </c>
      <c r="D5" s="414">
        <f>SUM(B5:C5)</f>
        <v>259660799.99999997</v>
      </c>
      <c r="E5" s="411"/>
      <c r="F5" s="412" t="s">
        <v>61</v>
      </c>
      <c r="G5" s="413">
        <f>+'[2]Stmts RUS'!$R$10*1000000000</f>
        <v>268316159.99999997</v>
      </c>
      <c r="H5" s="411">
        <f>+'[2]Stmts RUS'!$R$9*1000000</f>
        <v>0</v>
      </c>
      <c r="I5" s="414">
        <f>SUM(G5:H5)</f>
        <v>268316159.99999997</v>
      </c>
      <c r="J5" s="411"/>
      <c r="K5" s="412" t="s">
        <v>61</v>
      </c>
      <c r="L5" s="413">
        <f>+'[2]Stmts RUS'!$V$10*1000000000</f>
        <v>268316159.99999997</v>
      </c>
      <c r="M5" s="411">
        <f>+'[2]Stmts RUS'!$V$9*1000000</f>
        <v>0</v>
      </c>
      <c r="N5" s="414">
        <f>SUM(L5:M5)</f>
        <v>268316159.99999997</v>
      </c>
      <c r="O5" s="411"/>
      <c r="P5" s="412" t="s">
        <v>61</v>
      </c>
      <c r="Q5" s="413">
        <f>+'[2]Stmts RUS'!$Y$10*1000000000</f>
        <v>259660799.99999997</v>
      </c>
      <c r="R5" s="411">
        <f>+'[2]Stmts RUS'!$Y$9*1000000</f>
        <v>0</v>
      </c>
      <c r="S5" s="414">
        <f>SUM(Q5:R5)</f>
        <v>259660799.99999997</v>
      </c>
      <c r="T5" s="411"/>
      <c r="U5" s="412" t="s">
        <v>61</v>
      </c>
      <c r="V5" s="413">
        <f>+B5+B45+B85+G5+G45+G85+L5+L45+L85+Q5+Q45+Q85</f>
        <v>3159206399.9999995</v>
      </c>
      <c r="W5" s="411">
        <f>+C5+C45+C85+H5+H45+H85+M5+M45+M85+R5+R45+R85</f>
        <v>0</v>
      </c>
      <c r="X5" s="414">
        <f>SUM(V5:W5)</f>
        <v>3159206399.9999995</v>
      </c>
      <c r="Y5" s="390"/>
      <c r="AC5" s="390"/>
      <c r="AG5" s="390"/>
      <c r="AK5" s="390"/>
      <c r="AO5" s="390"/>
    </row>
    <row r="6" spans="1:41" ht="16.2">
      <c r="A6" s="412" t="s">
        <v>62</v>
      </c>
      <c r="B6" s="430">
        <v>0</v>
      </c>
      <c r="C6" s="431">
        <v>0</v>
      </c>
      <c r="D6" s="432">
        <f>SUM(B6:C6)</f>
        <v>0</v>
      </c>
      <c r="E6" s="411"/>
      <c r="F6" s="412" t="s">
        <v>62</v>
      </c>
      <c r="G6" s="430">
        <v>0</v>
      </c>
      <c r="H6" s="431">
        <v>0</v>
      </c>
      <c r="I6" s="432">
        <f>SUM(G6:H6)</f>
        <v>0</v>
      </c>
      <c r="J6" s="411"/>
      <c r="K6" s="412" t="s">
        <v>62</v>
      </c>
      <c r="L6" s="430">
        <v>0</v>
      </c>
      <c r="M6" s="431">
        <v>0</v>
      </c>
      <c r="N6" s="432">
        <f>SUM(L6:M6)</f>
        <v>0</v>
      </c>
      <c r="O6" s="411"/>
      <c r="P6" s="412" t="s">
        <v>62</v>
      </c>
      <c r="Q6" s="430">
        <v>0</v>
      </c>
      <c r="R6" s="431">
        <v>0</v>
      </c>
      <c r="S6" s="432">
        <f>SUM(Q6:R6)</f>
        <v>0</v>
      </c>
      <c r="T6" s="411"/>
      <c r="U6" s="412" t="s">
        <v>62</v>
      </c>
      <c r="V6" s="430">
        <f>+B6+B46+B86+G6+G46+G86+L6+L46+L86+Q6+Q46+Q86</f>
        <v>0</v>
      </c>
      <c r="W6" s="431">
        <f>+C6+C46+C86+H6+H46+H86+M6+M46+M86+R6+R46+R86</f>
        <v>0</v>
      </c>
      <c r="X6" s="432">
        <f>SUM(V6:W6)</f>
        <v>0</v>
      </c>
      <c r="Y6" s="390"/>
      <c r="AC6" s="390"/>
      <c r="AG6" s="390"/>
      <c r="AK6" s="390"/>
      <c r="AO6" s="390"/>
    </row>
    <row r="7" spans="1:41" ht="16.2">
      <c r="A7" s="412" t="s">
        <v>63</v>
      </c>
      <c r="B7" s="413">
        <f>SUM(B5:B6)</f>
        <v>259660799.99999997</v>
      </c>
      <c r="C7" s="411">
        <f>SUM(C5:C6)</f>
        <v>0</v>
      </c>
      <c r="D7" s="414">
        <f>SUM(D5:D6)</f>
        <v>259660799.99999997</v>
      </c>
      <c r="E7" s="411"/>
      <c r="F7" s="412" t="s">
        <v>63</v>
      </c>
      <c r="G7" s="413">
        <f>SUM(G5:G6)</f>
        <v>268316159.99999997</v>
      </c>
      <c r="H7" s="411">
        <f>SUM(H5:H6)</f>
        <v>0</v>
      </c>
      <c r="I7" s="414">
        <f>SUM(I5:I6)</f>
        <v>268316159.99999997</v>
      </c>
      <c r="J7" s="411"/>
      <c r="K7" s="412" t="s">
        <v>63</v>
      </c>
      <c r="L7" s="413">
        <f>SUM(L5:L6)</f>
        <v>268316159.99999997</v>
      </c>
      <c r="M7" s="411">
        <f>SUM(M5:M6)</f>
        <v>0</v>
      </c>
      <c r="N7" s="414">
        <f>SUM(N5:N6)</f>
        <v>268316159.99999997</v>
      </c>
      <c r="O7" s="411"/>
      <c r="P7" s="412" t="s">
        <v>63</v>
      </c>
      <c r="Q7" s="413">
        <f>SUM(Q5:Q6)</f>
        <v>259660799.99999997</v>
      </c>
      <c r="R7" s="411">
        <f>SUM(R5:R6)</f>
        <v>0</v>
      </c>
      <c r="S7" s="414">
        <f>SUM(S5:S6)</f>
        <v>259660799.99999997</v>
      </c>
      <c r="T7" s="411"/>
      <c r="U7" s="412" t="s">
        <v>63</v>
      </c>
      <c r="V7" s="413">
        <f>SUM(V5:V6)</f>
        <v>3159206399.9999995</v>
      </c>
      <c r="W7" s="411">
        <f>SUM(W5:W6)</f>
        <v>0</v>
      </c>
      <c r="X7" s="414">
        <f>SUM(X5:X6)</f>
        <v>3159206399.9999995</v>
      </c>
      <c r="Y7" s="390"/>
      <c r="AC7" s="390"/>
      <c r="AG7" s="390"/>
      <c r="AK7" s="390"/>
      <c r="AO7" s="390"/>
    </row>
    <row r="8" spans="1:41" ht="16.2">
      <c r="A8" s="412" t="s">
        <v>65</v>
      </c>
      <c r="B8" s="413">
        <v>0</v>
      </c>
      <c r="C8" s="411">
        <v>0</v>
      </c>
      <c r="D8" s="414">
        <f>SUM(B8:C8)</f>
        <v>0</v>
      </c>
      <c r="E8" s="411"/>
      <c r="F8" s="412" t="s">
        <v>65</v>
      </c>
      <c r="G8" s="413">
        <v>0</v>
      </c>
      <c r="H8" s="411">
        <v>0</v>
      </c>
      <c r="I8" s="414">
        <f>SUM(G8:H8)</f>
        <v>0</v>
      </c>
      <c r="J8" s="411"/>
      <c r="K8" s="412" t="s">
        <v>65</v>
      </c>
      <c r="L8" s="413">
        <v>0</v>
      </c>
      <c r="M8" s="411">
        <v>0</v>
      </c>
      <c r="N8" s="414">
        <f>SUM(L8:M8)</f>
        <v>0</v>
      </c>
      <c r="O8" s="411"/>
      <c r="P8" s="412" t="s">
        <v>65</v>
      </c>
      <c r="Q8" s="413">
        <v>0</v>
      </c>
      <c r="R8" s="411">
        <v>0</v>
      </c>
      <c r="S8" s="414">
        <f>SUM(Q8:R8)</f>
        <v>0</v>
      </c>
      <c r="T8" s="411"/>
      <c r="U8" s="412" t="s">
        <v>65</v>
      </c>
      <c r="V8" s="413">
        <f aca="true" t="shared" si="0" ref="V8:W10">+B8+B48+B88+G8+G48+G88+L8+L48+L88+Q8+Q48+Q88</f>
        <v>0</v>
      </c>
      <c r="W8" s="411">
        <f t="shared" si="0"/>
        <v>0</v>
      </c>
      <c r="X8" s="414">
        <f>SUM(V8:W8)</f>
        <v>0</v>
      </c>
      <c r="Y8" s="390"/>
      <c r="AC8" s="390"/>
      <c r="AG8" s="390"/>
      <c r="AK8" s="390"/>
      <c r="AO8" s="390"/>
    </row>
    <row r="9" spans="1:41" ht="16.2">
      <c r="A9" s="412" t="s">
        <v>66</v>
      </c>
      <c r="B9" s="413">
        <v>0</v>
      </c>
      <c r="C9" s="411">
        <v>0</v>
      </c>
      <c r="D9" s="414">
        <f>SUM(B9:C9)</f>
        <v>0</v>
      </c>
      <c r="E9" s="411"/>
      <c r="F9" s="412" t="s">
        <v>66</v>
      </c>
      <c r="G9" s="413">
        <v>0</v>
      </c>
      <c r="H9" s="411">
        <v>0</v>
      </c>
      <c r="I9" s="414">
        <f>SUM(G9:H9)</f>
        <v>0</v>
      </c>
      <c r="J9" s="411"/>
      <c r="K9" s="412" t="s">
        <v>66</v>
      </c>
      <c r="L9" s="413">
        <v>0</v>
      </c>
      <c r="M9" s="411">
        <v>0</v>
      </c>
      <c r="N9" s="414">
        <f>SUM(L9:M9)</f>
        <v>0</v>
      </c>
      <c r="O9" s="411"/>
      <c r="P9" s="412" t="s">
        <v>66</v>
      </c>
      <c r="Q9" s="413">
        <v>0</v>
      </c>
      <c r="R9" s="411">
        <v>0</v>
      </c>
      <c r="S9" s="414">
        <f>SUM(Q9:R9)</f>
        <v>0</v>
      </c>
      <c r="T9" s="411"/>
      <c r="U9" s="412" t="s">
        <v>66</v>
      </c>
      <c r="V9" s="413">
        <f t="shared" si="0"/>
        <v>0</v>
      </c>
      <c r="W9" s="411">
        <f t="shared" si="0"/>
        <v>0</v>
      </c>
      <c r="X9" s="414">
        <f>SUM(V9:W9)</f>
        <v>0</v>
      </c>
      <c r="Y9" s="390"/>
      <c r="AC9" s="390"/>
      <c r="AG9" s="390"/>
      <c r="AK9" s="390"/>
      <c r="AO9" s="390"/>
    </row>
    <row r="10" spans="1:41" ht="16.2">
      <c r="A10" s="412" t="s">
        <v>64</v>
      </c>
      <c r="B10" s="413">
        <v>0</v>
      </c>
      <c r="C10" s="411">
        <v>0</v>
      </c>
      <c r="D10" s="414">
        <v>0</v>
      </c>
      <c r="E10" s="411"/>
      <c r="F10" s="412" t="s">
        <v>64</v>
      </c>
      <c r="G10" s="413">
        <v>0</v>
      </c>
      <c r="H10" s="411">
        <v>0</v>
      </c>
      <c r="I10" s="414">
        <v>0</v>
      </c>
      <c r="J10" s="411"/>
      <c r="K10" s="412" t="s">
        <v>64</v>
      </c>
      <c r="L10" s="413">
        <v>0</v>
      </c>
      <c r="M10" s="411">
        <v>0</v>
      </c>
      <c r="N10" s="414">
        <v>0</v>
      </c>
      <c r="O10" s="411"/>
      <c r="P10" s="412" t="s">
        <v>64</v>
      </c>
      <c r="Q10" s="413">
        <v>0</v>
      </c>
      <c r="R10" s="411">
        <v>0</v>
      </c>
      <c r="S10" s="414">
        <v>0</v>
      </c>
      <c r="T10" s="411"/>
      <c r="U10" s="412" t="s">
        <v>64</v>
      </c>
      <c r="V10" s="413">
        <f t="shared" si="0"/>
        <v>0</v>
      </c>
      <c r="W10" s="411">
        <f t="shared" si="0"/>
        <v>0</v>
      </c>
      <c r="X10" s="414">
        <f>+V10+W10</f>
        <v>0</v>
      </c>
      <c r="Y10" s="390"/>
      <c r="AC10" s="390"/>
      <c r="AG10" s="390"/>
      <c r="AK10" s="390"/>
      <c r="AO10" s="390"/>
    </row>
    <row r="11" spans="1:41" ht="4.5" customHeight="1">
      <c r="A11" s="406"/>
      <c r="B11" s="430"/>
      <c r="C11" s="431"/>
      <c r="D11" s="432"/>
      <c r="E11" s="411"/>
      <c r="F11" s="406"/>
      <c r="G11" s="430"/>
      <c r="H11" s="431"/>
      <c r="I11" s="432"/>
      <c r="J11" s="411"/>
      <c r="K11" s="406"/>
      <c r="L11" s="430"/>
      <c r="M11" s="431"/>
      <c r="N11" s="432"/>
      <c r="O11" s="411"/>
      <c r="P11" s="406"/>
      <c r="Q11" s="430"/>
      <c r="R11" s="431"/>
      <c r="S11" s="432"/>
      <c r="T11" s="411"/>
      <c r="U11" s="406"/>
      <c r="V11" s="430"/>
      <c r="W11" s="431"/>
      <c r="X11" s="432"/>
      <c r="Y11" s="390"/>
      <c r="AC11" s="390"/>
      <c r="AG11" s="390"/>
      <c r="AK11" s="390"/>
      <c r="AO11" s="390"/>
    </row>
    <row r="12" spans="1:41" ht="16.2">
      <c r="A12" s="412" t="s">
        <v>76</v>
      </c>
      <c r="B12" s="413">
        <f>SUM(B7:B11)</f>
        <v>259660799.99999997</v>
      </c>
      <c r="C12" s="411">
        <f>SUM(C7:C11)</f>
        <v>0</v>
      </c>
      <c r="D12" s="414">
        <f>SUM(D7:D11)</f>
        <v>259660799.99999997</v>
      </c>
      <c r="E12" s="411"/>
      <c r="F12" s="412" t="s">
        <v>76</v>
      </c>
      <c r="G12" s="413">
        <f>SUM(G7:G11)</f>
        <v>268316159.99999997</v>
      </c>
      <c r="H12" s="411">
        <f>SUM(H7:H11)</f>
        <v>0</v>
      </c>
      <c r="I12" s="414">
        <f>SUM(I7:I11)</f>
        <v>268316159.99999997</v>
      </c>
      <c r="J12" s="411"/>
      <c r="K12" s="412" t="s">
        <v>76</v>
      </c>
      <c r="L12" s="413">
        <f>SUM(L7:L11)</f>
        <v>268316159.99999997</v>
      </c>
      <c r="M12" s="411">
        <f>SUM(M7:M11)</f>
        <v>0</v>
      </c>
      <c r="N12" s="414">
        <f>SUM(N7:N11)</f>
        <v>268316159.99999997</v>
      </c>
      <c r="O12" s="411"/>
      <c r="P12" s="412" t="s">
        <v>76</v>
      </c>
      <c r="Q12" s="413">
        <f>SUM(Q7:Q11)</f>
        <v>259660799.99999997</v>
      </c>
      <c r="R12" s="411">
        <f>SUM(R7:R11)</f>
        <v>0</v>
      </c>
      <c r="S12" s="414">
        <f>SUM(S7:S11)</f>
        <v>259660799.99999997</v>
      </c>
      <c r="T12" s="411"/>
      <c r="U12" s="412" t="s">
        <v>76</v>
      </c>
      <c r="V12" s="413">
        <f>SUM(V7:V11)</f>
        <v>3159206399.9999995</v>
      </c>
      <c r="W12" s="411">
        <f>SUM(W7:W11)</f>
        <v>0</v>
      </c>
      <c r="X12" s="414">
        <f>SUM(X7:X11)</f>
        <v>3159206399.9999995</v>
      </c>
      <c r="Y12" s="390"/>
      <c r="AC12" s="390"/>
      <c r="AG12" s="390"/>
      <c r="AK12" s="390"/>
      <c r="AO12" s="390"/>
    </row>
    <row r="13" spans="1:41" ht="12" customHeight="1">
      <c r="A13" s="406"/>
      <c r="B13" s="428"/>
      <c r="C13" s="410"/>
      <c r="D13" s="429"/>
      <c r="E13" s="410"/>
      <c r="F13" s="406"/>
      <c r="G13" s="428"/>
      <c r="H13" s="410"/>
      <c r="I13" s="429"/>
      <c r="J13" s="410"/>
      <c r="K13" s="406"/>
      <c r="L13" s="428"/>
      <c r="M13" s="410"/>
      <c r="N13" s="429"/>
      <c r="O13" s="410"/>
      <c r="P13" s="406"/>
      <c r="Q13" s="428"/>
      <c r="R13" s="410"/>
      <c r="S13" s="429"/>
      <c r="T13" s="410"/>
      <c r="U13" s="406"/>
      <c r="V13" s="428"/>
      <c r="W13" s="410"/>
      <c r="X13" s="429"/>
      <c r="Y13" s="390"/>
      <c r="AC13" s="390"/>
      <c r="AG13" s="390"/>
      <c r="AK13" s="390"/>
      <c r="AO13" s="390"/>
    </row>
    <row r="14" spans="1:41" ht="16.2">
      <c r="A14" s="409" t="s">
        <v>84</v>
      </c>
      <c r="B14" s="428"/>
      <c r="C14" s="410"/>
      <c r="D14" s="429"/>
      <c r="E14" s="410"/>
      <c r="F14" s="409" t="s">
        <v>84</v>
      </c>
      <c r="G14" s="428"/>
      <c r="H14" s="410"/>
      <c r="I14" s="429"/>
      <c r="J14" s="410"/>
      <c r="K14" s="409" t="s">
        <v>84</v>
      </c>
      <c r="L14" s="428"/>
      <c r="M14" s="410"/>
      <c r="N14" s="429"/>
      <c r="O14" s="410"/>
      <c r="P14" s="409" t="s">
        <v>84</v>
      </c>
      <c r="Q14" s="428"/>
      <c r="R14" s="410"/>
      <c r="S14" s="429"/>
      <c r="T14" s="410"/>
      <c r="U14" s="409" t="s">
        <v>84</v>
      </c>
      <c r="V14" s="428"/>
      <c r="W14" s="410"/>
      <c r="X14" s="429"/>
      <c r="Y14" s="390"/>
      <c r="AC14" s="390"/>
      <c r="AG14" s="390"/>
      <c r="AK14" s="390"/>
      <c r="AO14" s="390"/>
    </row>
    <row r="15" spans="1:41" ht="16.2">
      <c r="A15" s="412" t="s">
        <v>31</v>
      </c>
      <c r="B15" s="433">
        <f>+'[2]Stmts RUS'!$O$71/1000</f>
        <v>0.04759693877551021</v>
      </c>
      <c r="C15" s="415">
        <v>0</v>
      </c>
      <c r="D15" s="434">
        <f>D28/D5</f>
        <v>0.04759693877551021</v>
      </c>
      <c r="E15" s="416"/>
      <c r="F15" s="412" t="s">
        <v>31</v>
      </c>
      <c r="G15" s="433">
        <f>+'[2]Stmts RUS'!$R$71/1000</f>
        <v>0.04759693877551021</v>
      </c>
      <c r="H15" s="415">
        <v>0</v>
      </c>
      <c r="I15" s="434">
        <f>I28/I5</f>
        <v>0.04759693877551021</v>
      </c>
      <c r="J15" s="416"/>
      <c r="K15" s="412" t="s">
        <v>31</v>
      </c>
      <c r="L15" s="433">
        <f>+'[2]Stmts RUS'!$V$71/1000</f>
        <v>0.04759693877551021</v>
      </c>
      <c r="M15" s="415">
        <v>0</v>
      </c>
      <c r="N15" s="434">
        <f>N28/N5</f>
        <v>0.04759693877551021</v>
      </c>
      <c r="O15" s="416"/>
      <c r="P15" s="412" t="s">
        <v>31</v>
      </c>
      <c r="Q15" s="433">
        <f>+'[2]Stmts RUS'!$Y$71/1000</f>
        <v>0.04759693877551021</v>
      </c>
      <c r="R15" s="415">
        <v>0</v>
      </c>
      <c r="S15" s="434">
        <f>S28/S5</f>
        <v>0.04759693877551021</v>
      </c>
      <c r="T15" s="416"/>
      <c r="U15" s="412" t="s">
        <v>31</v>
      </c>
      <c r="V15" s="433">
        <f>+V28/V5</f>
        <v>0.04759693877551022</v>
      </c>
      <c r="W15" s="415">
        <v>0</v>
      </c>
      <c r="X15" s="434">
        <f>+X28/X5</f>
        <v>0.04759693877551022</v>
      </c>
      <c r="Y15" s="390"/>
      <c r="AC15" s="390"/>
      <c r="AG15" s="390"/>
      <c r="AK15" s="390"/>
      <c r="AO15" s="390"/>
    </row>
    <row r="16" spans="1:41" ht="16.2">
      <c r="A16" s="412" t="s">
        <v>62</v>
      </c>
      <c r="B16" s="435">
        <f>IF(B6=0,0,B29/B6)</f>
        <v>0</v>
      </c>
      <c r="C16" s="416">
        <f>IF(C6=0,0,C29/C6)</f>
        <v>0</v>
      </c>
      <c r="D16" s="436">
        <f>IF(D6=0,0,D29/D6)</f>
        <v>0</v>
      </c>
      <c r="E16" s="416"/>
      <c r="F16" s="412" t="s">
        <v>62</v>
      </c>
      <c r="G16" s="435">
        <f>IF(G6=0,0,G29/G6)</f>
        <v>0</v>
      </c>
      <c r="H16" s="416">
        <f>IF(H6=0,0,H29/H6)</f>
        <v>0</v>
      </c>
      <c r="I16" s="436">
        <f>IF(I6=0,0,I29/I6)</f>
        <v>0</v>
      </c>
      <c r="J16" s="416"/>
      <c r="K16" s="412" t="s">
        <v>62</v>
      </c>
      <c r="L16" s="435">
        <f>IF(L6=0,0,L29/L6)</f>
        <v>0</v>
      </c>
      <c r="M16" s="416">
        <f>IF(M6=0,0,M29/M6)</f>
        <v>0</v>
      </c>
      <c r="N16" s="436">
        <f>IF(N6=0,0,N29/N6)</f>
        <v>0</v>
      </c>
      <c r="O16" s="416"/>
      <c r="P16" s="412" t="s">
        <v>62</v>
      </c>
      <c r="Q16" s="435">
        <f>IF(Q6=0,0,Q29/Q6)</f>
        <v>0</v>
      </c>
      <c r="R16" s="416">
        <f>IF(R6=0,0,R29/R6)</f>
        <v>0</v>
      </c>
      <c r="S16" s="436">
        <f>IF(S6=0,0,S29/S6)</f>
        <v>0</v>
      </c>
      <c r="T16" s="416"/>
      <c r="U16" s="412" t="s">
        <v>62</v>
      </c>
      <c r="V16" s="435">
        <f>+IF(V29=0,0,V29/V6)</f>
        <v>0</v>
      </c>
      <c r="W16" s="416">
        <v>0</v>
      </c>
      <c r="X16" s="436">
        <f>IF(X6=0,0,X29/X6)</f>
        <v>0</v>
      </c>
      <c r="Y16" s="390"/>
      <c r="AC16" s="390"/>
      <c r="AG16" s="390"/>
      <c r="AK16" s="390"/>
      <c r="AO16" s="390"/>
    </row>
    <row r="17" spans="1:41" ht="16.2">
      <c r="A17" s="412" t="s">
        <v>65</v>
      </c>
      <c r="B17" s="435">
        <f>IF(B8=0,0,B30/B8)</f>
        <v>0</v>
      </c>
      <c r="C17" s="416">
        <f>IF(C8=0,0,C30/C8)</f>
        <v>0</v>
      </c>
      <c r="D17" s="436">
        <f>IF(D8=0,0,D30/D8)</f>
        <v>0</v>
      </c>
      <c r="E17" s="416"/>
      <c r="F17" s="412" t="s">
        <v>65</v>
      </c>
      <c r="G17" s="435">
        <f>IF(G8=0,0,G30/G8)</f>
        <v>0</v>
      </c>
      <c r="H17" s="416">
        <f>IF(H8=0,0,H30/H8)</f>
        <v>0</v>
      </c>
      <c r="I17" s="436">
        <f>IF(I8=0,0,I30/I8)</f>
        <v>0</v>
      </c>
      <c r="J17" s="416"/>
      <c r="K17" s="412" t="s">
        <v>65</v>
      </c>
      <c r="L17" s="435">
        <f>IF(L8=0,0,L30/L8)</f>
        <v>0</v>
      </c>
      <c r="M17" s="416">
        <f>IF(M8=0,0,M30/M8)</f>
        <v>0</v>
      </c>
      <c r="N17" s="436">
        <f>IF(N8=0,0,N30/N8)</f>
        <v>0</v>
      </c>
      <c r="O17" s="416"/>
      <c r="P17" s="412" t="s">
        <v>65</v>
      </c>
      <c r="Q17" s="435">
        <f>IF(Q8=0,0,Q30/Q8)</f>
        <v>0</v>
      </c>
      <c r="R17" s="416">
        <f>IF(R8=0,0,R30/R8)</f>
        <v>0</v>
      </c>
      <c r="S17" s="436">
        <f>IF(S8=0,0,S30/S8)</f>
        <v>0</v>
      </c>
      <c r="T17" s="416"/>
      <c r="U17" s="412" t="s">
        <v>65</v>
      </c>
      <c r="V17" s="435">
        <f>IF(V8=0,0,V30/V8)</f>
        <v>0</v>
      </c>
      <c r="W17" s="416">
        <v>0</v>
      </c>
      <c r="X17" s="436">
        <f>IF(X8=0,0,X30/X8)</f>
        <v>0</v>
      </c>
      <c r="Y17" s="390"/>
      <c r="AC17" s="390"/>
      <c r="AG17" s="390"/>
      <c r="AK17" s="390"/>
      <c r="AO17" s="390"/>
    </row>
    <row r="18" spans="1:41" ht="16.2">
      <c r="A18" s="412" t="s">
        <v>32</v>
      </c>
      <c r="B18" s="435">
        <f>+'[2]Stmts RUS'!$O$72</f>
        <v>2.95</v>
      </c>
      <c r="C18" s="416">
        <v>0</v>
      </c>
      <c r="D18" s="436">
        <f>D31/D5</f>
        <v>2.95</v>
      </c>
      <c r="E18" s="416"/>
      <c r="F18" s="412" t="s">
        <v>32</v>
      </c>
      <c r="G18" s="435">
        <f>+'[2]Stmts RUS'!$R$72</f>
        <v>2.95</v>
      </c>
      <c r="H18" s="416">
        <v>0</v>
      </c>
      <c r="I18" s="436">
        <f>I31/I5</f>
        <v>2.95</v>
      </c>
      <c r="J18" s="416"/>
      <c r="K18" s="412" t="s">
        <v>32</v>
      </c>
      <c r="L18" s="435">
        <f>+'[2]Stmts RUS'!$V$72</f>
        <v>2.9423014139732655</v>
      </c>
      <c r="M18" s="416">
        <v>0</v>
      </c>
      <c r="N18" s="436">
        <f>N31/N5</f>
        <v>2.9423014139732655</v>
      </c>
      <c r="O18" s="416"/>
      <c r="P18" s="412" t="s">
        <v>32</v>
      </c>
      <c r="Q18" s="435">
        <f>+'[2]Stmts RUS'!$Y$72</f>
        <v>2.9423014139732655</v>
      </c>
      <c r="R18" s="416">
        <v>0</v>
      </c>
      <c r="S18" s="436">
        <f>S31/S5</f>
        <v>2.9423014139732655</v>
      </c>
      <c r="T18" s="416"/>
      <c r="U18" s="412" t="s">
        <v>32</v>
      </c>
      <c r="V18" s="435">
        <f>+V31/V5</f>
        <v>2.944874639987681</v>
      </c>
      <c r="W18" s="416">
        <v>0</v>
      </c>
      <c r="X18" s="436">
        <f>+X31/X5</f>
        <v>2.944874639987681</v>
      </c>
      <c r="Y18" s="390"/>
      <c r="AC18" s="390"/>
      <c r="AG18" s="390"/>
      <c r="AK18" s="390"/>
      <c r="AO18" s="390"/>
    </row>
    <row r="19" spans="1:41" ht="16.2">
      <c r="A19" s="412" t="s">
        <v>34</v>
      </c>
      <c r="B19" s="435">
        <f>+'[2]Stmts RUS'!$O$74</f>
        <v>-0.3524936871929092</v>
      </c>
      <c r="C19" s="416">
        <v>0</v>
      </c>
      <c r="D19" s="436">
        <f>D32/D7</f>
        <v>-0.3524936871929092</v>
      </c>
      <c r="E19" s="416"/>
      <c r="F19" s="412" t="s">
        <v>34</v>
      </c>
      <c r="G19" s="435">
        <f>+'[2]Stmts RUS'!$R$74</f>
        <v>-0.4206603464508585</v>
      </c>
      <c r="H19" s="416">
        <v>0</v>
      </c>
      <c r="I19" s="436">
        <f>I32/I7</f>
        <v>-0.4206603464508585</v>
      </c>
      <c r="J19" s="416"/>
      <c r="K19" s="412" t="s">
        <v>34</v>
      </c>
      <c r="L19" s="435">
        <f>+'[2]Stmts RUS'!$V$74</f>
        <v>-0.3607865017676083</v>
      </c>
      <c r="M19" s="416">
        <v>0</v>
      </c>
      <c r="N19" s="436">
        <f>N32/N7</f>
        <v>-0.3607865017676083</v>
      </c>
      <c r="O19" s="416"/>
      <c r="P19" s="412" t="s">
        <v>34</v>
      </c>
      <c r="Q19" s="435">
        <f>+'[2]Stmts RUS'!$Y$74</f>
        <v>-0.37682679036234384</v>
      </c>
      <c r="R19" s="416">
        <v>0</v>
      </c>
      <c r="S19" s="436">
        <f>S32/S7</f>
        <v>-0.37682679036234384</v>
      </c>
      <c r="T19" s="416"/>
      <c r="U19" s="412" t="s">
        <v>34</v>
      </c>
      <c r="V19" s="435">
        <f>+V32/V7</f>
        <v>-0.36887319681742975</v>
      </c>
      <c r="W19" s="416">
        <v>0</v>
      </c>
      <c r="X19" s="436">
        <f>+X32/X7</f>
        <v>-0.36887319681742975</v>
      </c>
      <c r="Y19" s="390"/>
      <c r="AC19" s="390"/>
      <c r="AG19" s="390"/>
      <c r="AK19" s="390"/>
      <c r="AO19" s="390"/>
    </row>
    <row r="20" spans="1:41" ht="16.2">
      <c r="A20" s="412" t="s">
        <v>16</v>
      </c>
      <c r="B20" s="435">
        <f>+'[2]Stmts RUS'!$O$75</f>
        <v>4.700739212695471</v>
      </c>
      <c r="C20" s="416">
        <v>0</v>
      </c>
      <c r="D20" s="436">
        <f>D33/D7</f>
        <v>4.700739212695471</v>
      </c>
      <c r="E20" s="416"/>
      <c r="F20" s="412" t="s">
        <v>16</v>
      </c>
      <c r="G20" s="435">
        <f>+'[2]Stmts RUS'!$R$75</f>
        <v>4.6693319570191605</v>
      </c>
      <c r="H20" s="416">
        <v>0</v>
      </c>
      <c r="I20" s="436">
        <f>I33/I7</f>
        <v>4.6693319570191605</v>
      </c>
      <c r="J20" s="416"/>
      <c r="K20" s="412" t="s">
        <v>16</v>
      </c>
      <c r="L20" s="435">
        <f>+'[2]Stmts RUS'!$V$75</f>
        <v>5.221140653610085</v>
      </c>
      <c r="M20" s="416">
        <v>0</v>
      </c>
      <c r="N20" s="436">
        <f>N33/N7</f>
        <v>5.221140653610085</v>
      </c>
      <c r="O20" s="416"/>
      <c r="P20" s="412" t="s">
        <v>16</v>
      </c>
      <c r="Q20" s="435">
        <f>+'[2]Stmts RUS'!$Y$75</f>
        <v>5.639184019789095</v>
      </c>
      <c r="R20" s="416">
        <v>0</v>
      </c>
      <c r="S20" s="436">
        <f>S33/S7</f>
        <v>5.639184019789095</v>
      </c>
      <c r="T20" s="416"/>
      <c r="U20" s="412" t="s">
        <v>16</v>
      </c>
      <c r="V20" s="435">
        <f>+V33/V7</f>
        <v>5.120528879710131</v>
      </c>
      <c r="W20" s="416">
        <v>0</v>
      </c>
      <c r="X20" s="436">
        <f>+X33/X7</f>
        <v>5.120528879710131</v>
      </c>
      <c r="Y20" s="390"/>
      <c r="AC20" s="390"/>
      <c r="AG20" s="390"/>
      <c r="AK20" s="390"/>
      <c r="AO20" s="390"/>
    </row>
    <row r="21" spans="1:41" ht="16.2">
      <c r="A21" s="412" t="s">
        <v>35</v>
      </c>
      <c r="B21" s="435">
        <f>+'[2]Stmts RUS'!$O$76</f>
        <v>3.0326879214872187</v>
      </c>
      <c r="C21" s="416">
        <v>0</v>
      </c>
      <c r="D21" s="436">
        <f>D34/D7</f>
        <v>3.0326879214872187</v>
      </c>
      <c r="E21" s="416"/>
      <c r="F21" s="412" t="s">
        <v>35</v>
      </c>
      <c r="G21" s="435">
        <f>+'[2]Stmts RUS'!$R$76</f>
        <v>2.5632199835339216</v>
      </c>
      <c r="H21" s="416">
        <v>0</v>
      </c>
      <c r="I21" s="436">
        <f>I34/I7</f>
        <v>2.5632199835339216</v>
      </c>
      <c r="J21" s="416"/>
      <c r="K21" s="412" t="s">
        <v>35</v>
      </c>
      <c r="L21" s="435">
        <f>+'[2]Stmts RUS'!$V$76</f>
        <v>2.62489798580804</v>
      </c>
      <c r="M21" s="416">
        <v>0</v>
      </c>
      <c r="N21" s="436">
        <f>N34/N7</f>
        <v>2.62489798580804</v>
      </c>
      <c r="O21" s="416"/>
      <c r="P21" s="412" t="s">
        <v>35</v>
      </c>
      <c r="Q21" s="435">
        <f>+'[2]Stmts RUS'!$Y$76</f>
        <v>2.8106006051485855</v>
      </c>
      <c r="R21" s="416">
        <v>0</v>
      </c>
      <c r="S21" s="436">
        <f>S34/S7</f>
        <v>2.8106006051485855</v>
      </c>
      <c r="T21" s="416"/>
      <c r="U21" s="412" t="s">
        <v>35</v>
      </c>
      <c r="V21" s="435">
        <f>+V34/V7</f>
        <v>2.819002834008711</v>
      </c>
      <c r="W21" s="416">
        <v>0</v>
      </c>
      <c r="X21" s="436">
        <f>+X34/X7</f>
        <v>2.819002834008711</v>
      </c>
      <c r="Y21" s="390"/>
      <c r="AC21" s="390"/>
      <c r="AG21" s="390"/>
      <c r="AK21" s="390"/>
      <c r="AO21" s="390"/>
    </row>
    <row r="22" spans="1:41" ht="16.2">
      <c r="A22" s="412" t="s">
        <v>36</v>
      </c>
      <c r="B22" s="435">
        <f>+'[2]Stmts RUS'!$O$77</f>
        <v>1.8808305296756385</v>
      </c>
      <c r="C22" s="416">
        <v>0</v>
      </c>
      <c r="D22" s="436">
        <f>D35/D5</f>
        <v>1.8808305296756385</v>
      </c>
      <c r="E22" s="416"/>
      <c r="F22" s="412" t="s">
        <v>36</v>
      </c>
      <c r="G22" s="435">
        <f>+'[2]Stmts RUS'!$R$77</f>
        <v>1.8588682545248114</v>
      </c>
      <c r="H22" s="416">
        <v>0</v>
      </c>
      <c r="I22" s="436">
        <f>I35/I5</f>
        <v>1.8588682545248114</v>
      </c>
      <c r="J22" s="416"/>
      <c r="K22" s="412" t="s">
        <v>36</v>
      </c>
      <c r="L22" s="435">
        <f>+'[2]Stmts RUS'!$V$77</f>
        <v>1.8588682545248114</v>
      </c>
      <c r="M22" s="416">
        <v>0</v>
      </c>
      <c r="N22" s="436">
        <f>N35/N5</f>
        <v>1.8588682545248114</v>
      </c>
      <c r="O22" s="416"/>
      <c r="P22" s="412" t="s">
        <v>36</v>
      </c>
      <c r="Q22" s="435">
        <f>+'[2]Stmts RUS'!$Y$77</f>
        <v>1.8808305296756385</v>
      </c>
      <c r="R22" s="416">
        <v>0</v>
      </c>
      <c r="S22" s="436">
        <f>S35/S5</f>
        <v>1.8808305296756385</v>
      </c>
      <c r="T22" s="416"/>
      <c r="U22" s="412" t="s">
        <v>36</v>
      </c>
      <c r="V22" s="435">
        <f>+V35/V7</f>
        <v>1.8715040840636432</v>
      </c>
      <c r="W22" s="416">
        <v>0</v>
      </c>
      <c r="X22" s="436">
        <f>+X35/X7</f>
        <v>1.8715040840636432</v>
      </c>
      <c r="Y22" s="390"/>
      <c r="AC22" s="390"/>
      <c r="AG22" s="390"/>
      <c r="AK22" s="390"/>
      <c r="AO22" s="390"/>
    </row>
    <row r="23" spans="1:41" ht="16.2">
      <c r="A23" s="412" t="s">
        <v>70</v>
      </c>
      <c r="B23" s="435">
        <f>IF(B9=0,0,-B36/B9)</f>
        <v>0</v>
      </c>
      <c r="C23" s="416">
        <v>0</v>
      </c>
      <c r="D23" s="436">
        <f>IF(D9=0,0,-D36/D9)</f>
        <v>0</v>
      </c>
      <c r="E23" s="416"/>
      <c r="F23" s="412" t="s">
        <v>70</v>
      </c>
      <c r="G23" s="435">
        <f>IF(G9=0,0,-G36/G9)</f>
        <v>0</v>
      </c>
      <c r="H23" s="416">
        <v>0</v>
      </c>
      <c r="I23" s="436">
        <f>IF(I9=0,0,-I36/I9)</f>
        <v>0</v>
      </c>
      <c r="J23" s="416"/>
      <c r="K23" s="412" t="s">
        <v>70</v>
      </c>
      <c r="L23" s="435">
        <f>IF(L9=0,0,-L36/L9)</f>
        <v>0</v>
      </c>
      <c r="M23" s="416">
        <v>0</v>
      </c>
      <c r="N23" s="436">
        <f>IF(N9=0,0,-N36/N9)</f>
        <v>0</v>
      </c>
      <c r="O23" s="416"/>
      <c r="P23" s="412" t="s">
        <v>70</v>
      </c>
      <c r="Q23" s="435">
        <f>IF(Q9=0,0,-Q36/Q9)</f>
        <v>0</v>
      </c>
      <c r="R23" s="416">
        <v>0</v>
      </c>
      <c r="S23" s="436">
        <f>IF(S9=0,0,-S36/S9)</f>
        <v>0</v>
      </c>
      <c r="T23" s="416"/>
      <c r="U23" s="412" t="s">
        <v>70</v>
      </c>
      <c r="V23" s="435">
        <f>+IF(V36=0,0,V36/V9)</f>
        <v>0</v>
      </c>
      <c r="W23" s="416">
        <f>+IF(W36=0,0,W36/W9)</f>
        <v>0</v>
      </c>
      <c r="X23" s="436">
        <f>+IF(X36=0,0,X36/X9)</f>
        <v>0</v>
      </c>
      <c r="Y23" s="390"/>
      <c r="AC23" s="390"/>
      <c r="AG23" s="390"/>
      <c r="AK23" s="390"/>
      <c r="AO23" s="390"/>
    </row>
    <row r="24" spans="1:41" ht="16.2">
      <c r="A24" s="412" t="s">
        <v>80</v>
      </c>
      <c r="B24" s="437">
        <f>+IF(B37=0,0,B37/B10)</f>
        <v>0</v>
      </c>
      <c r="C24" s="438">
        <v>0</v>
      </c>
      <c r="D24" s="439">
        <f>+IF(D37=0,0,D37/D10)</f>
        <v>0</v>
      </c>
      <c r="E24" s="417"/>
      <c r="F24" s="412" t="s">
        <v>80</v>
      </c>
      <c r="G24" s="437">
        <f>+IF(G37=0,0,G37/G10)</f>
        <v>0</v>
      </c>
      <c r="H24" s="438">
        <v>0</v>
      </c>
      <c r="I24" s="439">
        <f>+IF(I37=0,0,I37/I10)</f>
        <v>0</v>
      </c>
      <c r="J24" s="417"/>
      <c r="K24" s="412" t="s">
        <v>80</v>
      </c>
      <c r="L24" s="437">
        <f>+IF(L37=0,0,L37/L10)</f>
        <v>0</v>
      </c>
      <c r="M24" s="438">
        <v>0</v>
      </c>
      <c r="N24" s="439">
        <f>+IF(N37=0,0,N37/N10)</f>
        <v>0</v>
      </c>
      <c r="O24" s="417"/>
      <c r="P24" s="412" t="s">
        <v>80</v>
      </c>
      <c r="Q24" s="437">
        <f>+IF(Q37=0,0,Q37/Q10)</f>
        <v>0</v>
      </c>
      <c r="R24" s="438">
        <v>0</v>
      </c>
      <c r="S24" s="439">
        <f>+IF(S37=0,0,S37/S10)</f>
        <v>0</v>
      </c>
      <c r="T24" s="417"/>
      <c r="U24" s="412" t="s">
        <v>80</v>
      </c>
      <c r="V24" s="437">
        <f>IF(V37=0,0,+V37/V10)</f>
        <v>0</v>
      </c>
      <c r="W24" s="438">
        <f>IF(W37=0,0,+W37/W10)</f>
        <v>0</v>
      </c>
      <c r="X24" s="439">
        <f>IF(X37=0,0,+X37/X10)</f>
        <v>0</v>
      </c>
      <c r="Y24" s="390"/>
      <c r="AC24" s="390"/>
      <c r="AG24" s="390"/>
      <c r="AK24" s="390"/>
      <c r="AO24" s="390"/>
    </row>
    <row r="25" spans="1:41" ht="16.2">
      <c r="A25" s="412" t="s">
        <v>77</v>
      </c>
      <c r="B25" s="435">
        <f>B39/B12</f>
        <v>12.25936091544093</v>
      </c>
      <c r="C25" s="416">
        <v>0</v>
      </c>
      <c r="D25" s="436">
        <f>D39/D12</f>
        <v>12.25936091544093</v>
      </c>
      <c r="E25" s="416"/>
      <c r="F25" s="412" t="s">
        <v>77</v>
      </c>
      <c r="G25" s="435">
        <f>G39/G12</f>
        <v>11.668356787402546</v>
      </c>
      <c r="H25" s="416">
        <v>0</v>
      </c>
      <c r="I25" s="436">
        <f>I39/I12</f>
        <v>11.668356787402546</v>
      </c>
      <c r="J25" s="416"/>
      <c r="K25" s="412" t="s">
        <v>77</v>
      </c>
      <c r="L25" s="435">
        <f>L39/L12</f>
        <v>12.334018744924105</v>
      </c>
      <c r="M25" s="416">
        <v>0</v>
      </c>
      <c r="N25" s="436">
        <f>N39/N12</f>
        <v>12.334018744924105</v>
      </c>
      <c r="O25" s="416"/>
      <c r="P25" s="412" t="s">
        <v>77</v>
      </c>
      <c r="Q25" s="435">
        <f>Q39/Q12</f>
        <v>12.943686716999752</v>
      </c>
      <c r="R25" s="416">
        <v>0</v>
      </c>
      <c r="S25" s="436">
        <f>S39/S12</f>
        <v>12.943686716999752</v>
      </c>
      <c r="T25" s="416"/>
      <c r="U25" s="412" t="s">
        <v>77</v>
      </c>
      <c r="V25" s="435">
        <f>V39/V12</f>
        <v>12.434634179728247</v>
      </c>
      <c r="W25" s="416">
        <v>0</v>
      </c>
      <c r="X25" s="436">
        <f>X39/X12</f>
        <v>12.434634179728247</v>
      </c>
      <c r="Y25" s="390"/>
      <c r="AC25" s="390"/>
      <c r="AG25" s="390"/>
      <c r="AK25" s="390"/>
      <c r="AO25" s="390"/>
    </row>
    <row r="26" spans="1:41" ht="16.2">
      <c r="A26" s="406"/>
      <c r="B26" s="428"/>
      <c r="C26" s="410"/>
      <c r="D26" s="429"/>
      <c r="E26" s="410"/>
      <c r="F26" s="406"/>
      <c r="G26" s="428"/>
      <c r="H26" s="410"/>
      <c r="I26" s="429"/>
      <c r="J26" s="410"/>
      <c r="K26" s="406"/>
      <c r="L26" s="428"/>
      <c r="M26" s="410"/>
      <c r="N26" s="429"/>
      <c r="O26" s="410"/>
      <c r="P26" s="406"/>
      <c r="Q26" s="428"/>
      <c r="R26" s="410"/>
      <c r="S26" s="429"/>
      <c r="T26" s="410"/>
      <c r="U26" s="406"/>
      <c r="V26" s="428"/>
      <c r="W26" s="410"/>
      <c r="X26" s="429"/>
      <c r="Y26" s="390"/>
      <c r="AC26" s="390"/>
      <c r="AG26" s="390"/>
      <c r="AK26" s="390"/>
      <c r="AO26" s="390"/>
    </row>
    <row r="27" spans="1:41" ht="16.2">
      <c r="A27" s="418" t="s">
        <v>78</v>
      </c>
      <c r="B27" s="428"/>
      <c r="C27" s="410"/>
      <c r="D27" s="429"/>
      <c r="E27" s="410"/>
      <c r="F27" s="418" t="s">
        <v>78</v>
      </c>
      <c r="G27" s="428"/>
      <c r="H27" s="410"/>
      <c r="I27" s="429"/>
      <c r="J27" s="410"/>
      <c r="K27" s="418" t="s">
        <v>78</v>
      </c>
      <c r="L27" s="428"/>
      <c r="M27" s="410"/>
      <c r="N27" s="429"/>
      <c r="O27" s="410"/>
      <c r="P27" s="418" t="s">
        <v>78</v>
      </c>
      <c r="Q27" s="428"/>
      <c r="R27" s="410"/>
      <c r="S27" s="429"/>
      <c r="T27" s="410"/>
      <c r="U27" s="418" t="s">
        <v>78</v>
      </c>
      <c r="V27" s="428"/>
      <c r="W27" s="410"/>
      <c r="X27" s="429"/>
      <c r="Y27" s="390"/>
      <c r="AC27" s="390"/>
      <c r="AG27" s="390"/>
      <c r="AK27" s="390"/>
      <c r="AO27" s="390"/>
    </row>
    <row r="28" spans="1:41" ht="16.8" thickBot="1">
      <c r="A28" s="412" t="s">
        <v>61</v>
      </c>
      <c r="B28" s="420">
        <f>+B5*B15</f>
        <v>12359059.2</v>
      </c>
      <c r="C28" s="440">
        <f>+C5*C15</f>
        <v>0</v>
      </c>
      <c r="D28" s="422">
        <f>SUM(B28:C28)</f>
        <v>12359059.2</v>
      </c>
      <c r="E28" s="411"/>
      <c r="F28" s="412" t="s">
        <v>61</v>
      </c>
      <c r="G28" s="420">
        <f>+G5*G15</f>
        <v>12771027.84</v>
      </c>
      <c r="H28" s="440">
        <f>+H5*H15</f>
        <v>0</v>
      </c>
      <c r="I28" s="422">
        <f>SUM(G28:H28)</f>
        <v>12771027.84</v>
      </c>
      <c r="J28" s="411"/>
      <c r="K28" s="412" t="s">
        <v>61</v>
      </c>
      <c r="L28" s="420">
        <f>+L5*L15</f>
        <v>12771027.84</v>
      </c>
      <c r="M28" s="440">
        <f>+M5*M15</f>
        <v>0</v>
      </c>
      <c r="N28" s="422">
        <f>SUM(L28:M28)</f>
        <v>12771027.84</v>
      </c>
      <c r="O28" s="411"/>
      <c r="P28" s="412" t="s">
        <v>61</v>
      </c>
      <c r="Q28" s="420">
        <f>+Q5*Q15</f>
        <v>12359059.2</v>
      </c>
      <c r="R28" s="440">
        <f>+R5*R15</f>
        <v>0</v>
      </c>
      <c r="S28" s="422">
        <f>SUM(Q28:R28)</f>
        <v>12359059.2</v>
      </c>
      <c r="T28" s="411"/>
      <c r="U28" s="412" t="s">
        <v>61</v>
      </c>
      <c r="V28" s="420">
        <f aca="true" t="shared" si="1" ref="V28:V38">+B28+B68+B108+G28+G68+G108+L28+L68+L108+Q28+Q68+Q108</f>
        <v>150368553.60000002</v>
      </c>
      <c r="W28" s="440">
        <f aca="true" t="shared" si="2" ref="W28:W38">+C28+C68+C108+H28+H68+H108+M28+M68+M108+R28+R68+R108</f>
        <v>0</v>
      </c>
      <c r="X28" s="422">
        <f>SUM(V28:W28)</f>
        <v>150368553.60000002</v>
      </c>
      <c r="Y28" s="390"/>
      <c r="AC28" s="390"/>
      <c r="AG28" s="390"/>
      <c r="AK28" s="390"/>
      <c r="AO28" s="390"/>
    </row>
    <row r="29" spans="1:41" ht="16.2">
      <c r="A29" s="412" t="s">
        <v>62</v>
      </c>
      <c r="B29" s="413">
        <v>0</v>
      </c>
      <c r="C29" s="411">
        <v>0</v>
      </c>
      <c r="D29" s="414">
        <f aca="true" t="shared" si="3" ref="D29:D37">SUM(B29:C29)</f>
        <v>0</v>
      </c>
      <c r="E29" s="411"/>
      <c r="F29" s="412" t="s">
        <v>62</v>
      </c>
      <c r="G29" s="413">
        <v>0</v>
      </c>
      <c r="H29" s="411">
        <v>0</v>
      </c>
      <c r="I29" s="414">
        <f aca="true" t="shared" si="4" ref="I29:I37">SUM(G29:H29)</f>
        <v>0</v>
      </c>
      <c r="J29" s="411"/>
      <c r="K29" s="412" t="s">
        <v>62</v>
      </c>
      <c r="L29" s="413">
        <v>0</v>
      </c>
      <c r="M29" s="411">
        <v>0</v>
      </c>
      <c r="N29" s="414">
        <f aca="true" t="shared" si="5" ref="N29:N37">SUM(L29:M29)</f>
        <v>0</v>
      </c>
      <c r="O29" s="411"/>
      <c r="P29" s="412" t="s">
        <v>62</v>
      </c>
      <c r="Q29" s="413">
        <v>0</v>
      </c>
      <c r="R29" s="411">
        <v>0</v>
      </c>
      <c r="S29" s="414">
        <f aca="true" t="shared" si="6" ref="S29:S37">SUM(Q29:R29)</f>
        <v>0</v>
      </c>
      <c r="T29" s="411"/>
      <c r="U29" s="412" t="s">
        <v>62</v>
      </c>
      <c r="V29" s="413">
        <f t="shared" si="1"/>
        <v>0</v>
      </c>
      <c r="W29" s="411">
        <f t="shared" si="2"/>
        <v>0</v>
      </c>
      <c r="X29" s="414">
        <f aca="true" t="shared" si="7" ref="X29:X37">SUM(V29:W29)</f>
        <v>0</v>
      </c>
      <c r="Y29" s="390"/>
      <c r="AC29" s="390"/>
      <c r="AG29" s="390"/>
      <c r="AK29" s="390"/>
      <c r="AO29" s="390"/>
    </row>
    <row r="30" spans="1:41" ht="16.2">
      <c r="A30" s="412" t="s">
        <v>65</v>
      </c>
      <c r="B30" s="413">
        <v>0</v>
      </c>
      <c r="C30" s="411">
        <v>0</v>
      </c>
      <c r="D30" s="414">
        <f t="shared" si="3"/>
        <v>0</v>
      </c>
      <c r="E30" s="411"/>
      <c r="F30" s="412" t="s">
        <v>65</v>
      </c>
      <c r="G30" s="413">
        <v>0</v>
      </c>
      <c r="H30" s="411">
        <v>0</v>
      </c>
      <c r="I30" s="414">
        <f t="shared" si="4"/>
        <v>0</v>
      </c>
      <c r="J30" s="411"/>
      <c r="K30" s="412" t="s">
        <v>65</v>
      </c>
      <c r="L30" s="413">
        <v>0</v>
      </c>
      <c r="M30" s="411">
        <v>0</v>
      </c>
      <c r="N30" s="414">
        <f t="shared" si="5"/>
        <v>0</v>
      </c>
      <c r="O30" s="411"/>
      <c r="P30" s="412" t="s">
        <v>65</v>
      </c>
      <c r="Q30" s="413">
        <v>0</v>
      </c>
      <c r="R30" s="411">
        <v>0</v>
      </c>
      <c r="S30" s="414">
        <f t="shared" si="6"/>
        <v>0</v>
      </c>
      <c r="T30" s="411"/>
      <c r="U30" s="412" t="s">
        <v>65</v>
      </c>
      <c r="V30" s="413">
        <f t="shared" si="1"/>
        <v>0</v>
      </c>
      <c r="W30" s="411">
        <f t="shared" si="2"/>
        <v>0</v>
      </c>
      <c r="X30" s="414">
        <f t="shared" si="7"/>
        <v>0</v>
      </c>
      <c r="Y30" s="390"/>
      <c r="AC30" s="390"/>
      <c r="AG30" s="390"/>
      <c r="AK30" s="390"/>
      <c r="AO30" s="390"/>
    </row>
    <row r="31" spans="1:41" ht="16.2">
      <c r="A31" s="412" t="s">
        <v>32</v>
      </c>
      <c r="B31" s="413">
        <f>+B5*B18</f>
        <v>765999360</v>
      </c>
      <c r="C31" s="411">
        <f>+C5*C18</f>
        <v>0</v>
      </c>
      <c r="D31" s="414">
        <f t="shared" si="3"/>
        <v>765999360</v>
      </c>
      <c r="E31" s="411"/>
      <c r="F31" s="412" t="s">
        <v>32</v>
      </c>
      <c r="G31" s="413">
        <f>+G5*G18</f>
        <v>791532672</v>
      </c>
      <c r="H31" s="411">
        <f>+H5*H18</f>
        <v>0</v>
      </c>
      <c r="I31" s="414">
        <f t="shared" si="4"/>
        <v>791532672</v>
      </c>
      <c r="J31" s="411"/>
      <c r="K31" s="412" t="s">
        <v>32</v>
      </c>
      <c r="L31" s="413">
        <f>+L5*L18</f>
        <v>789467016.9598769</v>
      </c>
      <c r="M31" s="411">
        <f>+M5*M18</f>
        <v>0</v>
      </c>
      <c r="N31" s="414">
        <f t="shared" si="5"/>
        <v>789467016.9598769</v>
      </c>
      <c r="O31" s="411"/>
      <c r="P31" s="412" t="s">
        <v>32</v>
      </c>
      <c r="Q31" s="413">
        <f>+Q5*Q18</f>
        <v>764000338.9934292</v>
      </c>
      <c r="R31" s="411">
        <f>+R5*R18</f>
        <v>0</v>
      </c>
      <c r="S31" s="414">
        <f t="shared" si="6"/>
        <v>764000338.9934292</v>
      </c>
      <c r="T31" s="411"/>
      <c r="U31" s="412" t="s">
        <v>32</v>
      </c>
      <c r="V31" s="413">
        <f t="shared" si="1"/>
        <v>9303466809.846777</v>
      </c>
      <c r="W31" s="411">
        <f t="shared" si="2"/>
        <v>0</v>
      </c>
      <c r="X31" s="414">
        <f t="shared" si="7"/>
        <v>9303466809.846777</v>
      </c>
      <c r="Y31" s="390"/>
      <c r="AC31" s="390"/>
      <c r="AG31" s="390"/>
      <c r="AK31" s="390"/>
      <c r="AO31" s="390"/>
    </row>
    <row r="32" spans="1:41" ht="16.2">
      <c r="A32" s="412" t="s">
        <v>34</v>
      </c>
      <c r="B32" s="413">
        <f>+B7*B19</f>
        <v>-91528792.81146054</v>
      </c>
      <c r="C32" s="411">
        <f>+C7*C19</f>
        <v>0</v>
      </c>
      <c r="D32" s="414">
        <f t="shared" si="3"/>
        <v>-91528792.81146054</v>
      </c>
      <c r="E32" s="411"/>
      <c r="F32" s="412" t="s">
        <v>34</v>
      </c>
      <c r="G32" s="413">
        <f>+G7*G19</f>
        <v>-112869968.82396397</v>
      </c>
      <c r="H32" s="411">
        <f>+H7*H19</f>
        <v>0</v>
      </c>
      <c r="I32" s="414">
        <f t="shared" si="4"/>
        <v>-112869968.82396397</v>
      </c>
      <c r="J32" s="411"/>
      <c r="K32" s="412" t="s">
        <v>34</v>
      </c>
      <c r="L32" s="413">
        <f>+L7*L19</f>
        <v>-96804848.73411787</v>
      </c>
      <c r="M32" s="411">
        <f>+M7*M19</f>
        <v>0</v>
      </c>
      <c r="N32" s="414">
        <f t="shared" si="5"/>
        <v>-96804848.73411787</v>
      </c>
      <c r="O32" s="411"/>
      <c r="P32" s="412" t="s">
        <v>34</v>
      </c>
      <c r="Q32" s="413">
        <f>+Q7*Q19</f>
        <v>-97847145.84691848</v>
      </c>
      <c r="R32" s="411">
        <f>+R7*R19</f>
        <v>0</v>
      </c>
      <c r="S32" s="414">
        <f t="shared" si="6"/>
        <v>-97847145.84691848</v>
      </c>
      <c r="T32" s="411"/>
      <c r="U32" s="412" t="s">
        <v>34</v>
      </c>
      <c r="V32" s="413">
        <f t="shared" si="1"/>
        <v>-1165346564.1740835</v>
      </c>
      <c r="W32" s="411">
        <f t="shared" si="2"/>
        <v>0</v>
      </c>
      <c r="X32" s="414">
        <f t="shared" si="7"/>
        <v>-1165346564.1740835</v>
      </c>
      <c r="Y32" s="390"/>
      <c r="AC32" s="390"/>
      <c r="AG32" s="390"/>
      <c r="AK32" s="390"/>
      <c r="AO32" s="390"/>
    </row>
    <row r="33" spans="1:41" ht="16.2">
      <c r="A33" s="412" t="s">
        <v>16</v>
      </c>
      <c r="B33" s="413">
        <f>+B7*B20</f>
        <v>1220597704.559876</v>
      </c>
      <c r="C33" s="411">
        <f>+C7*C20</f>
        <v>0</v>
      </c>
      <c r="D33" s="414">
        <f t="shared" si="3"/>
        <v>1220597704.559876</v>
      </c>
      <c r="E33" s="411"/>
      <c r="F33" s="412" t="s">
        <v>16</v>
      </c>
      <c r="G33" s="413">
        <f>+G7*G20</f>
        <v>1252857220.472666</v>
      </c>
      <c r="H33" s="411">
        <f>+H7*H20</f>
        <v>0</v>
      </c>
      <c r="I33" s="414">
        <f t="shared" si="4"/>
        <v>1252857220.472666</v>
      </c>
      <c r="J33" s="411"/>
      <c r="K33" s="412" t="s">
        <v>16</v>
      </c>
      <c r="L33" s="413">
        <f>+L7*L20</f>
        <v>1400916410.9965482</v>
      </c>
      <c r="M33" s="411">
        <f>+M7*M20</f>
        <v>0</v>
      </c>
      <c r="N33" s="414">
        <f t="shared" si="5"/>
        <v>1400916410.9965482</v>
      </c>
      <c r="O33" s="411"/>
      <c r="P33" s="412" t="s">
        <v>16</v>
      </c>
      <c r="Q33" s="413">
        <f>+Q7*Q20</f>
        <v>1464275033.925652</v>
      </c>
      <c r="R33" s="411">
        <f>+R7*R20</f>
        <v>0</v>
      </c>
      <c r="S33" s="414">
        <f t="shared" si="6"/>
        <v>1464275033.925652</v>
      </c>
      <c r="T33" s="411"/>
      <c r="U33" s="412" t="s">
        <v>16</v>
      </c>
      <c r="V33" s="413">
        <f t="shared" si="1"/>
        <v>16176807608.165073</v>
      </c>
      <c r="W33" s="411">
        <f t="shared" si="2"/>
        <v>0</v>
      </c>
      <c r="X33" s="414">
        <f t="shared" si="7"/>
        <v>16176807608.165073</v>
      </c>
      <c r="Y33" s="390"/>
      <c r="AC33" s="390"/>
      <c r="AG33" s="390"/>
      <c r="AK33" s="390"/>
      <c r="AO33" s="390"/>
    </row>
    <row r="34" spans="1:41" ht="16.2">
      <c r="A34" s="412" t="s">
        <v>35</v>
      </c>
      <c r="B34" s="413">
        <f>+B21*B7</f>
        <v>787470171.8437083</v>
      </c>
      <c r="C34" s="411">
        <f>+C7*C21</f>
        <v>0</v>
      </c>
      <c r="D34" s="414">
        <f t="shared" si="3"/>
        <v>787470171.8437083</v>
      </c>
      <c r="E34" s="411"/>
      <c r="F34" s="412" t="s">
        <v>35</v>
      </c>
      <c r="G34" s="413">
        <f>+G21*G7</f>
        <v>687753343.217085</v>
      </c>
      <c r="H34" s="411">
        <f>+H7*H21</f>
        <v>0</v>
      </c>
      <c r="I34" s="414">
        <f t="shared" si="4"/>
        <v>687753343.217085</v>
      </c>
      <c r="J34" s="411"/>
      <c r="K34" s="412" t="s">
        <v>35</v>
      </c>
      <c r="L34" s="413">
        <f>+L21*L7</f>
        <v>704302547.9437476</v>
      </c>
      <c r="M34" s="411">
        <f>+M7*M21</f>
        <v>0</v>
      </c>
      <c r="N34" s="414">
        <f t="shared" si="5"/>
        <v>704302547.9437476</v>
      </c>
      <c r="O34" s="411"/>
      <c r="P34" s="412" t="s">
        <v>35</v>
      </c>
      <c r="Q34" s="413">
        <f>+Q21*Q7</f>
        <v>729802801.6133658</v>
      </c>
      <c r="R34" s="411">
        <f>+R7*R21</f>
        <v>0</v>
      </c>
      <c r="S34" s="414">
        <f t="shared" si="6"/>
        <v>729802801.6133658</v>
      </c>
      <c r="T34" s="411"/>
      <c r="U34" s="412" t="s">
        <v>35</v>
      </c>
      <c r="V34" s="413">
        <f t="shared" si="1"/>
        <v>8905811794.818457</v>
      </c>
      <c r="W34" s="411">
        <f t="shared" si="2"/>
        <v>0</v>
      </c>
      <c r="X34" s="414">
        <f t="shared" si="7"/>
        <v>8905811794.818457</v>
      </c>
      <c r="Y34" s="390"/>
      <c r="AC34" s="390"/>
      <c r="AG34" s="390"/>
      <c r="AK34" s="390"/>
      <c r="AO34" s="390"/>
    </row>
    <row r="35" spans="1:41" ht="16.2">
      <c r="A35" s="412" t="s">
        <v>36</v>
      </c>
      <c r="B35" s="413">
        <f>+B22*B7</f>
        <v>488377959.99999994</v>
      </c>
      <c r="C35" s="411">
        <f>+C22*C7</f>
        <v>0</v>
      </c>
      <c r="D35" s="414">
        <f t="shared" si="3"/>
        <v>488377959.99999994</v>
      </c>
      <c r="E35" s="411"/>
      <c r="F35" s="412" t="s">
        <v>36</v>
      </c>
      <c r="G35" s="413">
        <f>+G22*G7</f>
        <v>498764391.99999994</v>
      </c>
      <c r="H35" s="411">
        <f>+H22*H7</f>
        <v>0</v>
      </c>
      <c r="I35" s="414">
        <f t="shared" si="4"/>
        <v>498764391.99999994</v>
      </c>
      <c r="J35" s="411"/>
      <c r="K35" s="412" t="s">
        <v>36</v>
      </c>
      <c r="L35" s="413">
        <f>+L22*L7</f>
        <v>498764391.99999994</v>
      </c>
      <c r="M35" s="411">
        <f>+M22*M7</f>
        <v>0</v>
      </c>
      <c r="N35" s="414">
        <f t="shared" si="5"/>
        <v>498764391.99999994</v>
      </c>
      <c r="O35" s="411"/>
      <c r="P35" s="412" t="s">
        <v>36</v>
      </c>
      <c r="Q35" s="413">
        <f>+Q22*Q7</f>
        <v>488377959.99999994</v>
      </c>
      <c r="R35" s="411">
        <f>+R22*R7</f>
        <v>0</v>
      </c>
      <c r="S35" s="414">
        <f t="shared" si="6"/>
        <v>488377959.99999994</v>
      </c>
      <c r="T35" s="411"/>
      <c r="U35" s="412" t="s">
        <v>36</v>
      </c>
      <c r="V35" s="430">
        <f t="shared" si="1"/>
        <v>5912467679.999999</v>
      </c>
      <c r="W35" s="431">
        <f t="shared" si="2"/>
        <v>0</v>
      </c>
      <c r="X35" s="432">
        <f t="shared" si="7"/>
        <v>5912467679.999999</v>
      </c>
      <c r="Y35" s="390"/>
      <c r="AC35" s="390"/>
      <c r="AG35" s="390"/>
      <c r="AK35" s="390"/>
      <c r="AO35" s="390"/>
    </row>
    <row r="36" spans="1:41" ht="16.2">
      <c r="A36" s="412" t="s">
        <v>70</v>
      </c>
      <c r="B36" s="413">
        <v>0</v>
      </c>
      <c r="C36" s="411">
        <v>0</v>
      </c>
      <c r="D36" s="414">
        <f t="shared" si="3"/>
        <v>0</v>
      </c>
      <c r="E36" s="411"/>
      <c r="F36" s="412" t="s">
        <v>70</v>
      </c>
      <c r="G36" s="413">
        <v>0</v>
      </c>
      <c r="H36" s="411">
        <v>0</v>
      </c>
      <c r="I36" s="414">
        <f t="shared" si="4"/>
        <v>0</v>
      </c>
      <c r="J36" s="411"/>
      <c r="K36" s="412" t="s">
        <v>70</v>
      </c>
      <c r="L36" s="413">
        <v>0</v>
      </c>
      <c r="M36" s="411">
        <v>0</v>
      </c>
      <c r="N36" s="414">
        <f t="shared" si="5"/>
        <v>0</v>
      </c>
      <c r="O36" s="411"/>
      <c r="P36" s="412" t="s">
        <v>70</v>
      </c>
      <c r="Q36" s="413">
        <v>0</v>
      </c>
      <c r="R36" s="411">
        <v>0</v>
      </c>
      <c r="S36" s="414">
        <f t="shared" si="6"/>
        <v>0</v>
      </c>
      <c r="T36" s="411"/>
      <c r="U36" s="412" t="s">
        <v>70</v>
      </c>
      <c r="V36" s="413">
        <f t="shared" si="1"/>
        <v>0</v>
      </c>
      <c r="W36" s="411">
        <f t="shared" si="2"/>
        <v>0</v>
      </c>
      <c r="X36" s="414">
        <f t="shared" si="7"/>
        <v>0</v>
      </c>
      <c r="Y36" s="390"/>
      <c r="AC36" s="390"/>
      <c r="AG36" s="390"/>
      <c r="AK36" s="390"/>
      <c r="AO36" s="390"/>
    </row>
    <row r="37" spans="1:41" ht="16.2">
      <c r="A37" s="412" t="s">
        <v>80</v>
      </c>
      <c r="B37" s="413">
        <v>0</v>
      </c>
      <c r="C37" s="411">
        <v>0</v>
      </c>
      <c r="D37" s="414">
        <f t="shared" si="3"/>
        <v>0</v>
      </c>
      <c r="E37" s="411"/>
      <c r="F37" s="412" t="s">
        <v>80</v>
      </c>
      <c r="G37" s="413">
        <v>0</v>
      </c>
      <c r="H37" s="411">
        <v>0</v>
      </c>
      <c r="I37" s="414">
        <f t="shared" si="4"/>
        <v>0</v>
      </c>
      <c r="J37" s="411"/>
      <c r="K37" s="412" t="s">
        <v>80</v>
      </c>
      <c r="L37" s="413">
        <v>0</v>
      </c>
      <c r="M37" s="411">
        <v>0</v>
      </c>
      <c r="N37" s="414">
        <f t="shared" si="5"/>
        <v>0</v>
      </c>
      <c r="O37" s="411"/>
      <c r="P37" s="412" t="s">
        <v>80</v>
      </c>
      <c r="Q37" s="413">
        <v>0</v>
      </c>
      <c r="R37" s="411">
        <v>0</v>
      </c>
      <c r="S37" s="414">
        <f t="shared" si="6"/>
        <v>0</v>
      </c>
      <c r="T37" s="411"/>
      <c r="U37" s="412" t="s">
        <v>80</v>
      </c>
      <c r="V37" s="413">
        <f t="shared" si="1"/>
        <v>0</v>
      </c>
      <c r="W37" s="411">
        <f t="shared" si="2"/>
        <v>0</v>
      </c>
      <c r="X37" s="414">
        <f t="shared" si="7"/>
        <v>0</v>
      </c>
      <c r="Y37" s="390"/>
      <c r="AC37" s="390"/>
      <c r="AG37" s="390"/>
      <c r="AK37" s="390"/>
      <c r="AO37" s="390"/>
    </row>
    <row r="38" spans="1:41" ht="16.2">
      <c r="A38" s="419" t="s">
        <v>81</v>
      </c>
      <c r="B38" s="430">
        <v>0</v>
      </c>
      <c r="C38" s="431">
        <v>0</v>
      </c>
      <c r="D38" s="432">
        <f aca="true" t="shared" si="8" ref="D38">SUM(B38:C38)</f>
        <v>0</v>
      </c>
      <c r="E38" s="411"/>
      <c r="F38" s="419" t="s">
        <v>81</v>
      </c>
      <c r="G38" s="430">
        <v>0</v>
      </c>
      <c r="H38" s="431">
        <v>0</v>
      </c>
      <c r="I38" s="432">
        <f aca="true" t="shared" si="9" ref="I38">SUM(G38:H38)</f>
        <v>0</v>
      </c>
      <c r="J38" s="411"/>
      <c r="K38" s="419" t="s">
        <v>81</v>
      </c>
      <c r="L38" s="430">
        <v>0</v>
      </c>
      <c r="M38" s="431">
        <v>0</v>
      </c>
      <c r="N38" s="432">
        <f aca="true" t="shared" si="10" ref="N38">SUM(L38:M38)</f>
        <v>0</v>
      </c>
      <c r="O38" s="411"/>
      <c r="P38" s="419" t="s">
        <v>81</v>
      </c>
      <c r="Q38" s="430">
        <v>0</v>
      </c>
      <c r="R38" s="431">
        <v>0</v>
      </c>
      <c r="S38" s="432">
        <f aca="true" t="shared" si="11" ref="S38">SUM(Q38:R38)</f>
        <v>0</v>
      </c>
      <c r="T38" s="411"/>
      <c r="U38" s="419" t="s">
        <v>81</v>
      </c>
      <c r="V38" s="430">
        <f t="shared" si="1"/>
        <v>0</v>
      </c>
      <c r="W38" s="431">
        <f t="shared" si="2"/>
        <v>0</v>
      </c>
      <c r="X38" s="432">
        <f aca="true" t="shared" si="12" ref="X38">SUM(V38:W38)</f>
        <v>0</v>
      </c>
      <c r="Y38" s="390"/>
      <c r="AC38" s="390"/>
      <c r="AG38" s="390"/>
      <c r="AK38" s="390"/>
      <c r="AO38" s="390"/>
    </row>
    <row r="39" spans="1:41" ht="16.8" thickBot="1">
      <c r="A39" s="412" t="s">
        <v>79</v>
      </c>
      <c r="B39" s="420">
        <f>SUM(B28:B38)</f>
        <v>3183275462.792124</v>
      </c>
      <c r="C39" s="421">
        <f>SUM(C28:C38)</f>
        <v>0</v>
      </c>
      <c r="D39" s="422">
        <f>SUM(D28:D38)</f>
        <v>3183275462.792124</v>
      </c>
      <c r="E39" s="411"/>
      <c r="F39" s="412" t="s">
        <v>79</v>
      </c>
      <c r="G39" s="420">
        <f>SUM(G28:G38)</f>
        <v>3130808686.705787</v>
      </c>
      <c r="H39" s="421">
        <f>SUM(H28:H38)</f>
        <v>0</v>
      </c>
      <c r="I39" s="422">
        <f>SUM(I28:I38)</f>
        <v>3130808686.705787</v>
      </c>
      <c r="J39" s="411"/>
      <c r="K39" s="412" t="s">
        <v>79</v>
      </c>
      <c r="L39" s="420">
        <f>SUM(L28:L38)</f>
        <v>3309416547.006055</v>
      </c>
      <c r="M39" s="421">
        <f>SUM(M28:M38)</f>
        <v>0</v>
      </c>
      <c r="N39" s="422">
        <f>SUM(N28:N38)</f>
        <v>3309416547.006055</v>
      </c>
      <c r="O39" s="411"/>
      <c r="P39" s="412" t="s">
        <v>79</v>
      </c>
      <c r="Q39" s="420">
        <f>SUM(Q28:Q38)</f>
        <v>3360968047.8855286</v>
      </c>
      <c r="R39" s="421">
        <f>SUM(R28:R38)</f>
        <v>0</v>
      </c>
      <c r="S39" s="422">
        <f>SUM(S28:S38)</f>
        <v>3360968047.8855286</v>
      </c>
      <c r="T39" s="411"/>
      <c r="U39" s="412" t="s">
        <v>79</v>
      </c>
      <c r="V39" s="420">
        <f>SUM(V28:V38)</f>
        <v>39283575882.256226</v>
      </c>
      <c r="W39" s="421">
        <f>SUM(W28:W38)</f>
        <v>0</v>
      </c>
      <c r="X39" s="422">
        <f>SUM(X28:X38)</f>
        <v>39283575882.256226</v>
      </c>
      <c r="Y39" s="390"/>
      <c r="AC39" s="390"/>
      <c r="AG39" s="390"/>
      <c r="AK39" s="390"/>
      <c r="AO39" s="390"/>
    </row>
    <row r="40" spans="1:24" ht="15">
      <c r="A40" s="369"/>
      <c r="B40" s="447"/>
      <c r="C40" s="447"/>
      <c r="D40" s="447"/>
      <c r="E40" s="447"/>
      <c r="F40" s="369"/>
      <c r="G40" s="447"/>
      <c r="H40" s="447"/>
      <c r="I40" s="447"/>
      <c r="J40" s="447"/>
      <c r="K40" s="369"/>
      <c r="L40" s="447"/>
      <c r="M40" s="447"/>
      <c r="N40" s="447"/>
      <c r="O40" s="447"/>
      <c r="P40" s="369"/>
      <c r="Q40" s="447"/>
      <c r="R40" s="447"/>
      <c r="S40" s="447"/>
      <c r="T40" s="447"/>
      <c r="U40" s="369"/>
      <c r="V40" s="447"/>
      <c r="W40" s="447"/>
      <c r="X40" s="447"/>
    </row>
    <row r="41" spans="1:24" ht="15">
      <c r="A41" s="369"/>
      <c r="B41" s="447"/>
      <c r="C41" s="447"/>
      <c r="D41" s="447"/>
      <c r="E41" s="447"/>
      <c r="F41" s="369"/>
      <c r="G41" s="447"/>
      <c r="H41" s="447"/>
      <c r="I41" s="447"/>
      <c r="J41" s="447"/>
      <c r="K41" s="369"/>
      <c r="L41" s="447"/>
      <c r="M41" s="447"/>
      <c r="N41" s="447"/>
      <c r="O41" s="447"/>
      <c r="P41" s="369"/>
      <c r="Q41" s="447"/>
      <c r="R41" s="447"/>
      <c r="S41" s="447"/>
      <c r="T41" s="447"/>
      <c r="U41" s="369"/>
      <c r="V41" s="447"/>
      <c r="W41" s="447"/>
      <c r="X41" s="447"/>
    </row>
    <row r="42" spans="1:24" ht="15">
      <c r="A42" s="369"/>
      <c r="B42" s="501">
        <v>41548</v>
      </c>
      <c r="C42" s="499"/>
      <c r="D42" s="500"/>
      <c r="E42" s="405"/>
      <c r="F42" s="369"/>
      <c r="G42" s="501">
        <v>41640</v>
      </c>
      <c r="H42" s="499"/>
      <c r="I42" s="500"/>
      <c r="J42" s="405"/>
      <c r="K42" s="369"/>
      <c r="L42" s="501">
        <v>41730</v>
      </c>
      <c r="M42" s="499"/>
      <c r="N42" s="500"/>
      <c r="O42" s="405"/>
      <c r="P42" s="369"/>
      <c r="Q42" s="501">
        <v>41821</v>
      </c>
      <c r="R42" s="499"/>
      <c r="S42" s="500"/>
      <c r="T42" s="405"/>
      <c r="U42" s="369"/>
      <c r="V42" s="447"/>
      <c r="W42" s="447"/>
      <c r="X42" s="447"/>
    </row>
    <row r="43" spans="1:24" ht="15">
      <c r="A43" s="369"/>
      <c r="B43" s="426" t="s">
        <v>42</v>
      </c>
      <c r="C43" s="405" t="s">
        <v>43</v>
      </c>
      <c r="D43" s="427" t="s">
        <v>33</v>
      </c>
      <c r="E43" s="405"/>
      <c r="F43" s="369"/>
      <c r="G43" s="426" t="s">
        <v>42</v>
      </c>
      <c r="H43" s="405" t="s">
        <v>43</v>
      </c>
      <c r="I43" s="427" t="s">
        <v>33</v>
      </c>
      <c r="J43" s="405"/>
      <c r="K43" s="369"/>
      <c r="L43" s="426" t="s">
        <v>42</v>
      </c>
      <c r="M43" s="405" t="s">
        <v>43</v>
      </c>
      <c r="N43" s="427" t="s">
        <v>33</v>
      </c>
      <c r="O43" s="405"/>
      <c r="P43" s="369"/>
      <c r="Q43" s="426" t="s">
        <v>42</v>
      </c>
      <c r="R43" s="405" t="s">
        <v>43</v>
      </c>
      <c r="S43" s="427" t="s">
        <v>33</v>
      </c>
      <c r="T43" s="405"/>
      <c r="U43" s="369"/>
      <c r="V43" s="447"/>
      <c r="W43" s="447"/>
      <c r="X43" s="447"/>
    </row>
    <row r="44" spans="1:24" ht="15">
      <c r="A44" s="409" t="s">
        <v>60</v>
      </c>
      <c r="B44" s="428"/>
      <c r="C44" s="410"/>
      <c r="D44" s="429"/>
      <c r="E44" s="410"/>
      <c r="F44" s="409" t="s">
        <v>60</v>
      </c>
      <c r="G44" s="428"/>
      <c r="H44" s="410"/>
      <c r="I44" s="429"/>
      <c r="J44" s="410"/>
      <c r="K44" s="409" t="s">
        <v>60</v>
      </c>
      <c r="L44" s="428"/>
      <c r="M44" s="410"/>
      <c r="N44" s="429"/>
      <c r="O44" s="410"/>
      <c r="P44" s="409" t="s">
        <v>60</v>
      </c>
      <c r="Q44" s="428"/>
      <c r="R44" s="410"/>
      <c r="S44" s="429"/>
      <c r="T44" s="410"/>
      <c r="U44" s="448"/>
      <c r="V44" s="447"/>
      <c r="W44" s="447"/>
      <c r="X44" s="447"/>
    </row>
    <row r="45" spans="1:24" ht="15">
      <c r="A45" s="412" t="s">
        <v>61</v>
      </c>
      <c r="B45" s="413">
        <f>+'[2]Stmts RUS'!$P$10*1000000000</f>
        <v>268316159.99999997</v>
      </c>
      <c r="C45" s="411">
        <f>+'[2]Stmts RUS'!$P$9*1000000</f>
        <v>0</v>
      </c>
      <c r="D45" s="414">
        <f>SUM(B45:C45)</f>
        <v>268316159.99999997</v>
      </c>
      <c r="E45" s="411"/>
      <c r="F45" s="412" t="s">
        <v>61</v>
      </c>
      <c r="G45" s="413">
        <f>+'[2]Stmts RUS'!$T$10*1000000000</f>
        <v>268316159.99999997</v>
      </c>
      <c r="H45" s="411">
        <f>+'[2]Stmts RUS'!$T$9*1000000</f>
        <v>0</v>
      </c>
      <c r="I45" s="414">
        <f>SUM(G45:H45)</f>
        <v>268316159.99999997</v>
      </c>
      <c r="J45" s="411"/>
      <c r="K45" s="412" t="s">
        <v>61</v>
      </c>
      <c r="L45" s="413">
        <f>+'[2]Stmts RUS'!$W$10*1000000000</f>
        <v>259660799.99999997</v>
      </c>
      <c r="M45" s="411">
        <f>+'[2]Stmts RUS'!$W$9*1000000</f>
        <v>0</v>
      </c>
      <c r="N45" s="414">
        <f>SUM(L45:M45)</f>
        <v>259660799.99999997</v>
      </c>
      <c r="O45" s="411"/>
      <c r="P45" s="412" t="s">
        <v>61</v>
      </c>
      <c r="Q45" s="413">
        <f>+'[2]Stmts RUS'!$Z$10*1000000000</f>
        <v>268316159.99999997</v>
      </c>
      <c r="R45" s="411">
        <f>+'[2]Stmts RUS'!$Z$9*1000000</f>
        <v>0</v>
      </c>
      <c r="S45" s="414">
        <f>SUM(Q45:R45)</f>
        <v>268316159.99999997</v>
      </c>
      <c r="T45" s="411"/>
      <c r="U45" s="412"/>
      <c r="V45" s="447"/>
      <c r="W45" s="447"/>
      <c r="X45" s="447"/>
    </row>
    <row r="46" spans="1:24" ht="15">
      <c r="A46" s="412" t="s">
        <v>62</v>
      </c>
      <c r="B46" s="430">
        <v>0</v>
      </c>
      <c r="C46" s="431">
        <v>0</v>
      </c>
      <c r="D46" s="432">
        <f>SUM(B46:C46)</f>
        <v>0</v>
      </c>
      <c r="E46" s="411"/>
      <c r="F46" s="412" t="s">
        <v>62</v>
      </c>
      <c r="G46" s="430">
        <v>0</v>
      </c>
      <c r="H46" s="431">
        <v>0</v>
      </c>
      <c r="I46" s="432">
        <f>SUM(G46:H46)</f>
        <v>0</v>
      </c>
      <c r="J46" s="411"/>
      <c r="K46" s="412" t="s">
        <v>62</v>
      </c>
      <c r="L46" s="430">
        <v>0</v>
      </c>
      <c r="M46" s="431">
        <v>0</v>
      </c>
      <c r="N46" s="432">
        <f>SUM(L46:M46)</f>
        <v>0</v>
      </c>
      <c r="O46" s="411"/>
      <c r="P46" s="412" t="s">
        <v>62</v>
      </c>
      <c r="Q46" s="430">
        <v>0</v>
      </c>
      <c r="R46" s="431">
        <v>0</v>
      </c>
      <c r="S46" s="432">
        <f>SUM(Q46:R46)</f>
        <v>0</v>
      </c>
      <c r="T46" s="411"/>
      <c r="U46" s="412"/>
      <c r="V46" s="447"/>
      <c r="W46" s="447"/>
      <c r="X46" s="447"/>
    </row>
    <row r="47" spans="1:24" ht="15">
      <c r="A47" s="412" t="s">
        <v>63</v>
      </c>
      <c r="B47" s="413">
        <f>SUM(B45:B46)</f>
        <v>268316159.99999997</v>
      </c>
      <c r="C47" s="411">
        <f>SUM(C45:C46)</f>
        <v>0</v>
      </c>
      <c r="D47" s="414">
        <f>SUM(D45:D46)</f>
        <v>268316159.99999997</v>
      </c>
      <c r="E47" s="411"/>
      <c r="F47" s="412" t="s">
        <v>63</v>
      </c>
      <c r="G47" s="413">
        <f>SUM(G45:G46)</f>
        <v>268316159.99999997</v>
      </c>
      <c r="H47" s="411">
        <f>SUM(H45:H46)</f>
        <v>0</v>
      </c>
      <c r="I47" s="414">
        <f>SUM(I45:I46)</f>
        <v>268316159.99999997</v>
      </c>
      <c r="J47" s="411"/>
      <c r="K47" s="412" t="s">
        <v>63</v>
      </c>
      <c r="L47" s="413">
        <f>SUM(L45:L46)</f>
        <v>259660799.99999997</v>
      </c>
      <c r="M47" s="411">
        <f>SUM(M45:M46)</f>
        <v>0</v>
      </c>
      <c r="N47" s="414">
        <f>SUM(N45:N46)</f>
        <v>259660799.99999997</v>
      </c>
      <c r="O47" s="411"/>
      <c r="P47" s="412" t="s">
        <v>63</v>
      </c>
      <c r="Q47" s="413">
        <f>SUM(Q45:Q46)</f>
        <v>268316159.99999997</v>
      </c>
      <c r="R47" s="411">
        <f>SUM(R45:R46)</f>
        <v>0</v>
      </c>
      <c r="S47" s="414">
        <f>SUM(S45:S46)</f>
        <v>268316159.99999997</v>
      </c>
      <c r="T47" s="411"/>
      <c r="U47" s="412"/>
      <c r="V47" s="447"/>
      <c r="W47" s="447"/>
      <c r="X47" s="447"/>
    </row>
    <row r="48" spans="1:24" ht="15">
      <c r="A48" s="412" t="s">
        <v>65</v>
      </c>
      <c r="B48" s="413">
        <v>0</v>
      </c>
      <c r="C48" s="411">
        <v>0</v>
      </c>
      <c r="D48" s="414">
        <f>SUM(B48:C48)</f>
        <v>0</v>
      </c>
      <c r="E48" s="411"/>
      <c r="F48" s="412" t="s">
        <v>65</v>
      </c>
      <c r="G48" s="413">
        <v>0</v>
      </c>
      <c r="H48" s="411">
        <v>0</v>
      </c>
      <c r="I48" s="414">
        <f>SUM(G48:H48)</f>
        <v>0</v>
      </c>
      <c r="J48" s="411"/>
      <c r="K48" s="412" t="s">
        <v>65</v>
      </c>
      <c r="L48" s="413">
        <v>0</v>
      </c>
      <c r="M48" s="411">
        <v>0</v>
      </c>
      <c r="N48" s="414">
        <f>SUM(L48:M48)</f>
        <v>0</v>
      </c>
      <c r="O48" s="411"/>
      <c r="P48" s="412" t="s">
        <v>65</v>
      </c>
      <c r="Q48" s="413">
        <v>0</v>
      </c>
      <c r="R48" s="411">
        <v>0</v>
      </c>
      <c r="S48" s="414">
        <f>SUM(Q48:R48)</f>
        <v>0</v>
      </c>
      <c r="T48" s="411"/>
      <c r="U48" s="412"/>
      <c r="V48" s="447"/>
      <c r="W48" s="447"/>
      <c r="X48" s="447"/>
    </row>
    <row r="49" spans="1:24" ht="15">
      <c r="A49" s="412" t="s">
        <v>66</v>
      </c>
      <c r="B49" s="413">
        <v>0</v>
      </c>
      <c r="C49" s="411">
        <v>0</v>
      </c>
      <c r="D49" s="414">
        <f>SUM(B49:C49)</f>
        <v>0</v>
      </c>
      <c r="E49" s="411"/>
      <c r="F49" s="412" t="s">
        <v>66</v>
      </c>
      <c r="G49" s="413">
        <v>0</v>
      </c>
      <c r="H49" s="411">
        <v>0</v>
      </c>
      <c r="I49" s="414">
        <f>SUM(G49:H49)</f>
        <v>0</v>
      </c>
      <c r="J49" s="411"/>
      <c r="K49" s="412" t="s">
        <v>66</v>
      </c>
      <c r="L49" s="413">
        <v>0</v>
      </c>
      <c r="M49" s="411">
        <v>0</v>
      </c>
      <c r="N49" s="414">
        <f>SUM(L49:M49)</f>
        <v>0</v>
      </c>
      <c r="O49" s="411"/>
      <c r="P49" s="412" t="s">
        <v>66</v>
      </c>
      <c r="Q49" s="413">
        <v>0</v>
      </c>
      <c r="R49" s="411">
        <v>0</v>
      </c>
      <c r="S49" s="414">
        <f>SUM(Q49:R49)</f>
        <v>0</v>
      </c>
      <c r="T49" s="411"/>
      <c r="U49" s="412"/>
      <c r="V49" s="447"/>
      <c r="W49" s="447"/>
      <c r="X49" s="447"/>
    </row>
    <row r="50" spans="1:24" ht="15">
      <c r="A50" s="412" t="s">
        <v>64</v>
      </c>
      <c r="B50" s="413">
        <v>0</v>
      </c>
      <c r="C50" s="411">
        <v>0</v>
      </c>
      <c r="D50" s="414">
        <v>0</v>
      </c>
      <c r="E50" s="411"/>
      <c r="F50" s="412" t="s">
        <v>64</v>
      </c>
      <c r="G50" s="413">
        <v>0</v>
      </c>
      <c r="H50" s="411">
        <v>0</v>
      </c>
      <c r="I50" s="414">
        <v>0</v>
      </c>
      <c r="J50" s="411"/>
      <c r="K50" s="412" t="s">
        <v>64</v>
      </c>
      <c r="L50" s="413">
        <v>0</v>
      </c>
      <c r="M50" s="411">
        <v>0</v>
      </c>
      <c r="N50" s="414">
        <v>0</v>
      </c>
      <c r="O50" s="411"/>
      <c r="P50" s="412" t="s">
        <v>64</v>
      </c>
      <c r="Q50" s="413">
        <v>0</v>
      </c>
      <c r="R50" s="411">
        <v>0</v>
      </c>
      <c r="S50" s="414">
        <v>0</v>
      </c>
      <c r="T50" s="411"/>
      <c r="U50" s="412"/>
      <c r="V50" s="447"/>
      <c r="W50" s="447"/>
      <c r="X50" s="447"/>
    </row>
    <row r="51" spans="1:24" ht="15">
      <c r="A51" s="406"/>
      <c r="B51" s="430"/>
      <c r="C51" s="431"/>
      <c r="D51" s="432"/>
      <c r="E51" s="411"/>
      <c r="F51" s="406"/>
      <c r="G51" s="430"/>
      <c r="H51" s="431"/>
      <c r="I51" s="432"/>
      <c r="J51" s="411"/>
      <c r="K51" s="406"/>
      <c r="L51" s="430"/>
      <c r="M51" s="431"/>
      <c r="N51" s="432"/>
      <c r="O51" s="411"/>
      <c r="P51" s="406"/>
      <c r="Q51" s="430"/>
      <c r="R51" s="431"/>
      <c r="S51" s="432"/>
      <c r="T51" s="411"/>
      <c r="U51" s="406"/>
      <c r="V51" s="447"/>
      <c r="W51" s="447"/>
      <c r="X51" s="447"/>
    </row>
    <row r="52" spans="1:24" ht="15">
      <c r="A52" s="412" t="s">
        <v>76</v>
      </c>
      <c r="B52" s="413">
        <f>SUM(B47:B51)</f>
        <v>268316159.99999997</v>
      </c>
      <c r="C52" s="411">
        <f>SUM(C47:C51)</f>
        <v>0</v>
      </c>
      <c r="D52" s="414">
        <f>SUM(D47:D51)</f>
        <v>268316159.99999997</v>
      </c>
      <c r="E52" s="411"/>
      <c r="F52" s="412" t="s">
        <v>76</v>
      </c>
      <c r="G52" s="413">
        <f>SUM(G47:G51)</f>
        <v>268316159.99999997</v>
      </c>
      <c r="H52" s="411">
        <f>SUM(H47:H51)</f>
        <v>0</v>
      </c>
      <c r="I52" s="414">
        <f>SUM(I47:I51)</f>
        <v>268316159.99999997</v>
      </c>
      <c r="J52" s="411"/>
      <c r="K52" s="412" t="s">
        <v>76</v>
      </c>
      <c r="L52" s="413">
        <f>SUM(L47:L51)</f>
        <v>259660799.99999997</v>
      </c>
      <c r="M52" s="411">
        <f>SUM(M47:M51)</f>
        <v>0</v>
      </c>
      <c r="N52" s="414">
        <f>SUM(N47:N51)</f>
        <v>259660799.99999997</v>
      </c>
      <c r="O52" s="411"/>
      <c r="P52" s="412" t="s">
        <v>76</v>
      </c>
      <c r="Q52" s="413">
        <f>SUM(Q47:Q51)</f>
        <v>268316159.99999997</v>
      </c>
      <c r="R52" s="411">
        <f>SUM(R47:R51)</f>
        <v>0</v>
      </c>
      <c r="S52" s="414">
        <f>SUM(S47:S51)</f>
        <v>268316159.99999997</v>
      </c>
      <c r="T52" s="411"/>
      <c r="U52" s="412"/>
      <c r="V52" s="447"/>
      <c r="W52" s="447"/>
      <c r="X52" s="447"/>
    </row>
    <row r="53" spans="1:24" ht="17.25" customHeight="1">
      <c r="A53" s="406"/>
      <c r="B53" s="428"/>
      <c r="C53" s="410"/>
      <c r="D53" s="429"/>
      <c r="E53" s="410"/>
      <c r="F53" s="406"/>
      <c r="G53" s="428"/>
      <c r="H53" s="410"/>
      <c r="I53" s="429"/>
      <c r="J53" s="410"/>
      <c r="K53" s="406"/>
      <c r="L53" s="428"/>
      <c r="M53" s="410"/>
      <c r="N53" s="429"/>
      <c r="O53" s="410"/>
      <c r="P53" s="406"/>
      <c r="Q53" s="428"/>
      <c r="R53" s="410"/>
      <c r="S53" s="429"/>
      <c r="T53" s="410"/>
      <c r="U53" s="406"/>
      <c r="V53" s="447"/>
      <c r="W53" s="447"/>
      <c r="X53" s="447"/>
    </row>
    <row r="54" spans="1:24" ht="15">
      <c r="A54" s="409" t="s">
        <v>84</v>
      </c>
      <c r="B54" s="428"/>
      <c r="C54" s="410"/>
      <c r="D54" s="429"/>
      <c r="E54" s="410"/>
      <c r="F54" s="409" t="s">
        <v>84</v>
      </c>
      <c r="G54" s="428"/>
      <c r="H54" s="410"/>
      <c r="I54" s="429"/>
      <c r="J54" s="410"/>
      <c r="K54" s="409" t="s">
        <v>84</v>
      </c>
      <c r="L54" s="428"/>
      <c r="M54" s="410"/>
      <c r="N54" s="429"/>
      <c r="O54" s="410"/>
      <c r="P54" s="409" t="s">
        <v>84</v>
      </c>
      <c r="Q54" s="428"/>
      <c r="R54" s="410"/>
      <c r="S54" s="429"/>
      <c r="T54" s="410"/>
      <c r="U54" s="448"/>
      <c r="V54" s="447"/>
      <c r="W54" s="447"/>
      <c r="X54" s="447"/>
    </row>
    <row r="55" spans="1:24" ht="15">
      <c r="A55" s="412" t="s">
        <v>31</v>
      </c>
      <c r="B55" s="433">
        <f>+'[2]Stmts RUS'!$P$71/1000</f>
        <v>0.04759693877551021</v>
      </c>
      <c r="C55" s="415">
        <v>0</v>
      </c>
      <c r="D55" s="434">
        <f>D68/D45</f>
        <v>0.04759693877551021</v>
      </c>
      <c r="E55" s="416"/>
      <c r="F55" s="412" t="s">
        <v>31</v>
      </c>
      <c r="G55" s="433">
        <f>+'[2]Stmts RUS'!$T$71/1000</f>
        <v>0.04759693877551021</v>
      </c>
      <c r="H55" s="415">
        <v>0</v>
      </c>
      <c r="I55" s="434">
        <f>I68/I45</f>
        <v>0.04759693877551021</v>
      </c>
      <c r="J55" s="416"/>
      <c r="K55" s="412" t="s">
        <v>31</v>
      </c>
      <c r="L55" s="433">
        <f>+'[2]Stmts RUS'!$W$71/1000</f>
        <v>0.04759693877551021</v>
      </c>
      <c r="M55" s="415">
        <v>0</v>
      </c>
      <c r="N55" s="434">
        <f>N68/N45</f>
        <v>0.04759693877551021</v>
      </c>
      <c r="O55" s="416"/>
      <c r="P55" s="412" t="s">
        <v>31</v>
      </c>
      <c r="Q55" s="433">
        <f>+'[2]Stmts RUS'!$Z$71/1000</f>
        <v>0.04759693877551021</v>
      </c>
      <c r="R55" s="415">
        <v>0</v>
      </c>
      <c r="S55" s="434">
        <f>S68/S45</f>
        <v>0.04759693877551021</v>
      </c>
      <c r="T55" s="416"/>
      <c r="U55" s="412"/>
      <c r="V55" s="447"/>
      <c r="W55" s="447"/>
      <c r="X55" s="447"/>
    </row>
    <row r="56" spans="1:24" ht="15">
      <c r="A56" s="412" t="s">
        <v>62</v>
      </c>
      <c r="B56" s="435">
        <f>IF(B46=0,0,B69/B46)</f>
        <v>0</v>
      </c>
      <c r="C56" s="416">
        <f>IF(C46=0,0,C69/C46)</f>
        <v>0</v>
      </c>
      <c r="D56" s="436">
        <f>IF(D46=0,0,D69/D46)</f>
        <v>0</v>
      </c>
      <c r="E56" s="416"/>
      <c r="F56" s="412" t="s">
        <v>62</v>
      </c>
      <c r="G56" s="435">
        <f>IF(G46=0,0,G69/G46)</f>
        <v>0</v>
      </c>
      <c r="H56" s="416">
        <f>IF(H46=0,0,H69/H46)</f>
        <v>0</v>
      </c>
      <c r="I56" s="436">
        <f>IF(I46=0,0,I69/I46)</f>
        <v>0</v>
      </c>
      <c r="J56" s="416"/>
      <c r="K56" s="412" t="s">
        <v>62</v>
      </c>
      <c r="L56" s="435">
        <f>IF(L46=0,0,L69/L46)</f>
        <v>0</v>
      </c>
      <c r="M56" s="416">
        <f>IF(M46=0,0,M69/M46)</f>
        <v>0</v>
      </c>
      <c r="N56" s="436">
        <f>IF(N46=0,0,N69/N46)</f>
        <v>0</v>
      </c>
      <c r="O56" s="416"/>
      <c r="P56" s="412" t="s">
        <v>62</v>
      </c>
      <c r="Q56" s="435">
        <f>IF(Q46=0,0,Q69/Q46)</f>
        <v>0</v>
      </c>
      <c r="R56" s="416">
        <f>IF(R46=0,0,R69/R46)</f>
        <v>0</v>
      </c>
      <c r="S56" s="436">
        <f>IF(S46=0,0,S69/S46)</f>
        <v>0</v>
      </c>
      <c r="T56" s="416"/>
      <c r="U56" s="412"/>
      <c r="V56" s="447"/>
      <c r="W56" s="447"/>
      <c r="X56" s="447"/>
    </row>
    <row r="57" spans="1:24" ht="15">
      <c r="A57" s="412" t="s">
        <v>65</v>
      </c>
      <c r="B57" s="435">
        <f>IF(B48=0,0,B70/B48)</f>
        <v>0</v>
      </c>
      <c r="C57" s="416">
        <f>IF(C48=0,0,C70/C48)</f>
        <v>0</v>
      </c>
      <c r="D57" s="436">
        <f>IF(D48=0,0,D70/D48)</f>
        <v>0</v>
      </c>
      <c r="E57" s="416"/>
      <c r="F57" s="412" t="s">
        <v>65</v>
      </c>
      <c r="G57" s="435">
        <f>IF(G48=0,0,G70/G48)</f>
        <v>0</v>
      </c>
      <c r="H57" s="416">
        <f>IF(H48=0,0,H70/H48)</f>
        <v>0</v>
      </c>
      <c r="I57" s="436">
        <f>IF(I48=0,0,I70/I48)</f>
        <v>0</v>
      </c>
      <c r="J57" s="416"/>
      <c r="K57" s="412" t="s">
        <v>65</v>
      </c>
      <c r="L57" s="435">
        <f>IF(L48=0,0,L70/L48)</f>
        <v>0</v>
      </c>
      <c r="M57" s="416">
        <f>IF(M48=0,0,M70/M48)</f>
        <v>0</v>
      </c>
      <c r="N57" s="436">
        <f>IF(N48=0,0,N70/N48)</f>
        <v>0</v>
      </c>
      <c r="O57" s="416"/>
      <c r="P57" s="412" t="s">
        <v>65</v>
      </c>
      <c r="Q57" s="435">
        <f>IF(Q48=0,0,Q70/Q48)</f>
        <v>0</v>
      </c>
      <c r="R57" s="416">
        <f>IF(R48=0,0,R70/R48)</f>
        <v>0</v>
      </c>
      <c r="S57" s="436">
        <f>IF(S48=0,0,S70/S48)</f>
        <v>0</v>
      </c>
      <c r="T57" s="416"/>
      <c r="U57" s="412"/>
      <c r="V57" s="447"/>
      <c r="W57" s="447"/>
      <c r="X57" s="447"/>
    </row>
    <row r="58" spans="1:24" ht="15">
      <c r="A58" s="412" t="s">
        <v>32</v>
      </c>
      <c r="B58" s="435">
        <f>+'[2]Stmts RUS'!$P$72</f>
        <v>2.95</v>
      </c>
      <c r="C58" s="416">
        <v>0</v>
      </c>
      <c r="D58" s="436">
        <f>D71/D45</f>
        <v>2.95</v>
      </c>
      <c r="E58" s="416"/>
      <c r="F58" s="412" t="s">
        <v>32</v>
      </c>
      <c r="G58" s="435">
        <f>+'[2]Stmts RUS'!$T$72</f>
        <v>2.9423014139732655</v>
      </c>
      <c r="H58" s="416">
        <v>0</v>
      </c>
      <c r="I58" s="436">
        <f>I71/I45</f>
        <v>2.9423014139732655</v>
      </c>
      <c r="J58" s="416"/>
      <c r="K58" s="412" t="s">
        <v>32</v>
      </c>
      <c r="L58" s="435">
        <f>+'[2]Stmts RUS'!$W$72</f>
        <v>2.9423014139732655</v>
      </c>
      <c r="M58" s="416">
        <v>0</v>
      </c>
      <c r="N58" s="436">
        <f>N71/N45</f>
        <v>2.9423014139732655</v>
      </c>
      <c r="O58" s="416"/>
      <c r="P58" s="412" t="s">
        <v>32</v>
      </c>
      <c r="Q58" s="435">
        <f>+'[2]Stmts RUS'!$Z$72</f>
        <v>2.9423014139732655</v>
      </c>
      <c r="R58" s="416">
        <v>0</v>
      </c>
      <c r="S58" s="436">
        <f>S71/S45</f>
        <v>2.9423014139732655</v>
      </c>
      <c r="T58" s="416"/>
      <c r="U58" s="412"/>
      <c r="V58" s="447"/>
      <c r="W58" s="447"/>
      <c r="X58" s="447"/>
    </row>
    <row r="59" spans="1:24" ht="15">
      <c r="A59" s="412" t="s">
        <v>34</v>
      </c>
      <c r="B59" s="435">
        <f>+'[2]Stmts RUS'!$P$74</f>
        <v>-0.3377132651712804</v>
      </c>
      <c r="C59" s="416">
        <v>0</v>
      </c>
      <c r="D59" s="436">
        <f>D72/D47</f>
        <v>-0.3377132651712804</v>
      </c>
      <c r="E59" s="416"/>
      <c r="F59" s="412" t="s">
        <v>34</v>
      </c>
      <c r="G59" s="435">
        <f>+'[2]Stmts RUS'!$T$74</f>
        <v>-0.4131719799560179</v>
      </c>
      <c r="H59" s="416">
        <v>0</v>
      </c>
      <c r="I59" s="436">
        <f>I72/I47</f>
        <v>-0.4131719799560179</v>
      </c>
      <c r="J59" s="416"/>
      <c r="K59" s="412" t="s">
        <v>34</v>
      </c>
      <c r="L59" s="435">
        <f>+'[2]Stmts RUS'!$W$74</f>
        <v>-0.30574356931596547</v>
      </c>
      <c r="M59" s="416">
        <v>0</v>
      </c>
      <c r="N59" s="436">
        <f>N72/N47</f>
        <v>-0.30574356931596547</v>
      </c>
      <c r="O59" s="416"/>
      <c r="P59" s="412" t="s">
        <v>34</v>
      </c>
      <c r="Q59" s="435">
        <f>+'[2]Stmts RUS'!$Z$74</f>
        <v>-0.41144180507006445</v>
      </c>
      <c r="R59" s="416">
        <v>0</v>
      </c>
      <c r="S59" s="436">
        <f>S72/S47</f>
        <v>-0.41144180507006445</v>
      </c>
      <c r="T59" s="416"/>
      <c r="U59" s="412"/>
      <c r="V59" s="447"/>
      <c r="W59" s="447"/>
      <c r="X59" s="447"/>
    </row>
    <row r="60" spans="1:24" ht="15">
      <c r="A60" s="412" t="s">
        <v>16</v>
      </c>
      <c r="B60" s="435">
        <f>+'[2]Stmts RUS'!$P$75</f>
        <v>4.483449024792463</v>
      </c>
      <c r="C60" s="416">
        <v>0</v>
      </c>
      <c r="D60" s="436">
        <f>D73/D47</f>
        <v>4.483449024792463</v>
      </c>
      <c r="E60" s="416"/>
      <c r="F60" s="412" t="s">
        <v>16</v>
      </c>
      <c r="G60" s="435">
        <f>+'[2]Stmts RUS'!$T$75</f>
        <v>4.9049917744126965</v>
      </c>
      <c r="H60" s="416">
        <v>0</v>
      </c>
      <c r="I60" s="436">
        <f>I73/I47</f>
        <v>4.9049917744126965</v>
      </c>
      <c r="J60" s="416"/>
      <c r="K60" s="412" t="s">
        <v>16</v>
      </c>
      <c r="L60" s="435">
        <f>+'[2]Stmts RUS'!$W$75</f>
        <v>5.3389689398350235</v>
      </c>
      <c r="M60" s="416">
        <v>0</v>
      </c>
      <c r="N60" s="436">
        <f>N73/N47</f>
        <v>5.3389689398350235</v>
      </c>
      <c r="O60" s="416"/>
      <c r="P60" s="412" t="s">
        <v>16</v>
      </c>
      <c r="Q60" s="435">
        <f>+'[2]Stmts RUS'!$Z$75</f>
        <v>5.659257552796234</v>
      </c>
      <c r="R60" s="416">
        <v>0</v>
      </c>
      <c r="S60" s="436">
        <f>S73/S47</f>
        <v>5.659257552796234</v>
      </c>
      <c r="T60" s="416"/>
      <c r="U60" s="412"/>
      <c r="V60" s="447"/>
      <c r="W60" s="447"/>
      <c r="X60" s="447"/>
    </row>
    <row r="61" spans="1:24" ht="15">
      <c r="A61" s="412" t="s">
        <v>35</v>
      </c>
      <c r="B61" s="435">
        <f>+'[2]Stmts RUS'!$P$76</f>
        <v>2.9731183508237593</v>
      </c>
      <c r="C61" s="416">
        <v>0</v>
      </c>
      <c r="D61" s="436">
        <f>D74/D47</f>
        <v>2.9731183508237593</v>
      </c>
      <c r="E61" s="416"/>
      <c r="F61" s="412" t="s">
        <v>35</v>
      </c>
      <c r="G61" s="435">
        <f>+'[2]Stmts RUS'!$T$76</f>
        <v>2.6971224970223493</v>
      </c>
      <c r="H61" s="416">
        <v>0</v>
      </c>
      <c r="I61" s="436">
        <f>I74/I47</f>
        <v>2.6971224970223493</v>
      </c>
      <c r="J61" s="416"/>
      <c r="K61" s="412" t="s">
        <v>35</v>
      </c>
      <c r="L61" s="435">
        <f>+'[2]Stmts RUS'!$W$76</f>
        <v>2.863966162158152</v>
      </c>
      <c r="M61" s="416">
        <v>0</v>
      </c>
      <c r="N61" s="436">
        <f>N74/N47</f>
        <v>2.863966162158152</v>
      </c>
      <c r="O61" s="416"/>
      <c r="P61" s="412" t="s">
        <v>35</v>
      </c>
      <c r="Q61" s="435">
        <f>+'[2]Stmts RUS'!$Z$76</f>
        <v>2.780514151656247</v>
      </c>
      <c r="R61" s="416">
        <v>0</v>
      </c>
      <c r="S61" s="436">
        <f>S74/S47</f>
        <v>2.780514151656247</v>
      </c>
      <c r="T61" s="416"/>
      <c r="U61" s="412"/>
      <c r="V61" s="447"/>
      <c r="W61" s="447"/>
      <c r="X61" s="447"/>
    </row>
    <row r="62" spans="1:24" ht="15">
      <c r="A62" s="412" t="s">
        <v>36</v>
      </c>
      <c r="B62" s="435">
        <f>+'[2]Stmts RUS'!$P$77</f>
        <v>1.8588682545248114</v>
      </c>
      <c r="C62" s="416">
        <v>0</v>
      </c>
      <c r="D62" s="436">
        <f>D75/D45</f>
        <v>1.8588682545248114</v>
      </c>
      <c r="E62" s="416"/>
      <c r="F62" s="412" t="s">
        <v>36</v>
      </c>
      <c r="G62" s="435">
        <f>+'[2]Stmts RUS'!$T$77</f>
        <v>1.8588682545248114</v>
      </c>
      <c r="H62" s="416">
        <v>0</v>
      </c>
      <c r="I62" s="436">
        <f>I75/I45</f>
        <v>1.8588682545248114</v>
      </c>
      <c r="J62" s="416"/>
      <c r="K62" s="412" t="s">
        <v>36</v>
      </c>
      <c r="L62" s="435">
        <f>+'[2]Stmts RUS'!$W$77</f>
        <v>1.8808305296756385</v>
      </c>
      <c r="M62" s="416">
        <v>0</v>
      </c>
      <c r="N62" s="436">
        <f>N75/N45</f>
        <v>1.8808305296756385</v>
      </c>
      <c r="O62" s="416"/>
      <c r="P62" s="412" t="s">
        <v>36</v>
      </c>
      <c r="Q62" s="435">
        <f>+'[2]Stmts RUS'!$Z$77</f>
        <v>1.8588682545248114</v>
      </c>
      <c r="R62" s="416">
        <v>0</v>
      </c>
      <c r="S62" s="436">
        <f>S75/S45</f>
        <v>1.8588682545248114</v>
      </c>
      <c r="T62" s="416"/>
      <c r="U62" s="412"/>
      <c r="V62" s="447"/>
      <c r="W62" s="447"/>
      <c r="X62" s="447"/>
    </row>
    <row r="63" spans="1:24" ht="15">
      <c r="A63" s="412" t="s">
        <v>70</v>
      </c>
      <c r="B63" s="435">
        <f>IF(B49=0,0,-B76/B49)</f>
        <v>0</v>
      </c>
      <c r="C63" s="416">
        <v>0</v>
      </c>
      <c r="D63" s="436">
        <f>IF(D49=0,0,-D76/D49)</f>
        <v>0</v>
      </c>
      <c r="E63" s="416"/>
      <c r="F63" s="412" t="s">
        <v>70</v>
      </c>
      <c r="G63" s="435">
        <f>IF(G49=0,0,-G76/G49)</f>
        <v>0</v>
      </c>
      <c r="H63" s="416">
        <v>0</v>
      </c>
      <c r="I63" s="436">
        <f>IF(I49=0,0,-I76/I49)</f>
        <v>0</v>
      </c>
      <c r="J63" s="416"/>
      <c r="K63" s="412" t="s">
        <v>70</v>
      </c>
      <c r="L63" s="435">
        <f>IF(L49=0,0,-L76/L49)</f>
        <v>0</v>
      </c>
      <c r="M63" s="416">
        <v>0</v>
      </c>
      <c r="N63" s="436">
        <f>IF(N49=0,0,-N76/N49)</f>
        <v>0</v>
      </c>
      <c r="O63" s="416"/>
      <c r="P63" s="412" t="s">
        <v>70</v>
      </c>
      <c r="Q63" s="435">
        <f>IF(Q49=0,0,-Q76/Q49)</f>
        <v>0</v>
      </c>
      <c r="R63" s="416">
        <v>0</v>
      </c>
      <c r="S63" s="436">
        <f>IF(S49=0,0,-S76/S49)</f>
        <v>0</v>
      </c>
      <c r="T63" s="416"/>
      <c r="U63" s="412"/>
      <c r="V63" s="447"/>
      <c r="W63" s="447"/>
      <c r="X63" s="447"/>
    </row>
    <row r="64" spans="1:24" ht="15">
      <c r="A64" s="412" t="s">
        <v>80</v>
      </c>
      <c r="B64" s="437">
        <f>+IF(B77=0,0,B77/B50)</f>
        <v>0</v>
      </c>
      <c r="C64" s="438">
        <v>0</v>
      </c>
      <c r="D64" s="439">
        <f>+IF(D77=0,0,D77/D50)</f>
        <v>0</v>
      </c>
      <c r="E64" s="417"/>
      <c r="F64" s="412" t="s">
        <v>80</v>
      </c>
      <c r="G64" s="437">
        <f>+IF(G77=0,0,G77/G50)</f>
        <v>0</v>
      </c>
      <c r="H64" s="438">
        <v>0</v>
      </c>
      <c r="I64" s="439">
        <f>+IF(I77=0,0,I77/I50)</f>
        <v>0</v>
      </c>
      <c r="J64" s="417"/>
      <c r="K64" s="412" t="s">
        <v>80</v>
      </c>
      <c r="L64" s="437">
        <f>+IF(L77=0,0,L77/L50)</f>
        <v>0</v>
      </c>
      <c r="M64" s="438">
        <v>0</v>
      </c>
      <c r="N64" s="439">
        <f>+IF(N77=0,0,N77/N50)</f>
        <v>0</v>
      </c>
      <c r="O64" s="417"/>
      <c r="P64" s="412" t="s">
        <v>80</v>
      </c>
      <c r="Q64" s="437">
        <f>+IF(Q77=0,0,Q77/Q50)</f>
        <v>0</v>
      </c>
      <c r="R64" s="438">
        <v>0</v>
      </c>
      <c r="S64" s="439">
        <f>+IF(S77=0,0,S77/S50)</f>
        <v>0</v>
      </c>
      <c r="T64" s="417"/>
      <c r="U64" s="412"/>
      <c r="V64" s="447"/>
      <c r="W64" s="447"/>
      <c r="X64" s="447"/>
    </row>
    <row r="65" spans="1:24" ht="15">
      <c r="A65" s="412" t="s">
        <v>77</v>
      </c>
      <c r="B65" s="435">
        <f>B79/B52</f>
        <v>11.975319303745264</v>
      </c>
      <c r="C65" s="416">
        <v>0</v>
      </c>
      <c r="D65" s="436">
        <f>D79/D52</f>
        <v>11.975319303745264</v>
      </c>
      <c r="E65" s="416"/>
      <c r="F65" s="412" t="s">
        <v>77</v>
      </c>
      <c r="G65" s="435">
        <f>G79/G52</f>
        <v>12.037708898752614</v>
      </c>
      <c r="H65" s="416">
        <v>0</v>
      </c>
      <c r="I65" s="436">
        <f>I79/I52</f>
        <v>12.037708898752614</v>
      </c>
      <c r="J65" s="416"/>
      <c r="K65" s="412" t="s">
        <v>77</v>
      </c>
      <c r="L65" s="435">
        <f>L79/L52</f>
        <v>12.767920415101624</v>
      </c>
      <c r="M65" s="416">
        <v>0</v>
      </c>
      <c r="N65" s="436">
        <f>N79/N52</f>
        <v>12.767920415101624</v>
      </c>
      <c r="O65" s="416"/>
      <c r="P65" s="412" t="s">
        <v>77</v>
      </c>
      <c r="Q65" s="435">
        <f>Q79/Q52</f>
        <v>12.877096506656004</v>
      </c>
      <c r="R65" s="416">
        <v>0</v>
      </c>
      <c r="S65" s="436">
        <f>S79/S52</f>
        <v>12.877096506656004</v>
      </c>
      <c r="T65" s="416"/>
      <c r="U65" s="412"/>
      <c r="V65" s="447"/>
      <c r="W65" s="447"/>
      <c r="X65" s="447"/>
    </row>
    <row r="66" spans="1:24" ht="15">
      <c r="A66" s="406"/>
      <c r="B66" s="428"/>
      <c r="C66" s="410"/>
      <c r="D66" s="429"/>
      <c r="E66" s="410"/>
      <c r="F66" s="406"/>
      <c r="G66" s="428"/>
      <c r="H66" s="410"/>
      <c r="I66" s="429"/>
      <c r="J66" s="410"/>
      <c r="K66" s="406"/>
      <c r="L66" s="428"/>
      <c r="M66" s="410"/>
      <c r="N66" s="429"/>
      <c r="O66" s="410"/>
      <c r="P66" s="406"/>
      <c r="Q66" s="428"/>
      <c r="R66" s="410"/>
      <c r="S66" s="429"/>
      <c r="T66" s="410"/>
      <c r="U66" s="406"/>
      <c r="V66" s="447"/>
      <c r="W66" s="447"/>
      <c r="X66" s="447"/>
    </row>
    <row r="67" spans="1:24" ht="15">
      <c r="A67" s="418" t="s">
        <v>78</v>
      </c>
      <c r="B67" s="428"/>
      <c r="C67" s="410"/>
      <c r="D67" s="429"/>
      <c r="E67" s="410"/>
      <c r="F67" s="418" t="s">
        <v>78</v>
      </c>
      <c r="G67" s="428"/>
      <c r="H67" s="410"/>
      <c r="I67" s="429"/>
      <c r="J67" s="410"/>
      <c r="K67" s="418" t="s">
        <v>78</v>
      </c>
      <c r="L67" s="428"/>
      <c r="M67" s="410"/>
      <c r="N67" s="429"/>
      <c r="O67" s="410"/>
      <c r="P67" s="418" t="s">
        <v>78</v>
      </c>
      <c r="Q67" s="428"/>
      <c r="R67" s="410"/>
      <c r="S67" s="429"/>
      <c r="T67" s="410"/>
      <c r="U67" s="418"/>
      <c r="V67" s="447"/>
      <c r="W67" s="447"/>
      <c r="X67" s="447"/>
    </row>
    <row r="68" spans="1:24" ht="15.6" thickBot="1">
      <c r="A68" s="412" t="s">
        <v>61</v>
      </c>
      <c r="B68" s="420">
        <f>+B45*B55</f>
        <v>12771027.84</v>
      </c>
      <c r="C68" s="440">
        <f>+C45*C55</f>
        <v>0</v>
      </c>
      <c r="D68" s="422">
        <f>SUM(B68:C68)</f>
        <v>12771027.84</v>
      </c>
      <c r="E68" s="411"/>
      <c r="F68" s="412" t="s">
        <v>61</v>
      </c>
      <c r="G68" s="420">
        <f>+G45*G55</f>
        <v>12771027.84</v>
      </c>
      <c r="H68" s="440">
        <f>+H45*H55</f>
        <v>0</v>
      </c>
      <c r="I68" s="422">
        <f>SUM(G68:H68)</f>
        <v>12771027.84</v>
      </c>
      <c r="J68" s="411"/>
      <c r="K68" s="412" t="s">
        <v>61</v>
      </c>
      <c r="L68" s="420">
        <f>+L45*L55</f>
        <v>12359059.2</v>
      </c>
      <c r="M68" s="440">
        <f>+M45*M55</f>
        <v>0</v>
      </c>
      <c r="N68" s="422">
        <f>SUM(L68:M68)</f>
        <v>12359059.2</v>
      </c>
      <c r="O68" s="411"/>
      <c r="P68" s="412" t="s">
        <v>61</v>
      </c>
      <c r="Q68" s="420">
        <f>+Q45*Q55</f>
        <v>12771027.84</v>
      </c>
      <c r="R68" s="440">
        <f>+R45*R55</f>
        <v>0</v>
      </c>
      <c r="S68" s="422">
        <f>SUM(Q68:R68)</f>
        <v>12771027.84</v>
      </c>
      <c r="T68" s="411"/>
      <c r="U68" s="412"/>
      <c r="V68" s="447"/>
      <c r="W68" s="447"/>
      <c r="X68" s="447"/>
    </row>
    <row r="69" spans="1:24" ht="15">
      <c r="A69" s="412" t="s">
        <v>62</v>
      </c>
      <c r="B69" s="413">
        <v>0</v>
      </c>
      <c r="C69" s="411">
        <v>0</v>
      </c>
      <c r="D69" s="414">
        <f aca="true" t="shared" si="13" ref="D69:D77">SUM(B69:C69)</f>
        <v>0</v>
      </c>
      <c r="E69" s="411"/>
      <c r="F69" s="412" t="s">
        <v>62</v>
      </c>
      <c r="G69" s="413">
        <v>0</v>
      </c>
      <c r="H69" s="411">
        <v>0</v>
      </c>
      <c r="I69" s="414">
        <f aca="true" t="shared" si="14" ref="I69:I77">SUM(G69:H69)</f>
        <v>0</v>
      </c>
      <c r="J69" s="411"/>
      <c r="K69" s="412" t="s">
        <v>62</v>
      </c>
      <c r="L69" s="413">
        <v>0</v>
      </c>
      <c r="M69" s="411">
        <v>0</v>
      </c>
      <c r="N69" s="414">
        <f aca="true" t="shared" si="15" ref="N69:N77">SUM(L69:M69)</f>
        <v>0</v>
      </c>
      <c r="O69" s="411"/>
      <c r="P69" s="412" t="s">
        <v>62</v>
      </c>
      <c r="Q69" s="413">
        <v>0</v>
      </c>
      <c r="R69" s="411">
        <v>0</v>
      </c>
      <c r="S69" s="414">
        <f aca="true" t="shared" si="16" ref="S69:S77">SUM(Q69:R69)</f>
        <v>0</v>
      </c>
      <c r="T69" s="411"/>
      <c r="U69" s="412"/>
      <c r="V69" s="447"/>
      <c r="W69" s="447"/>
      <c r="X69" s="447"/>
    </row>
    <row r="70" spans="1:24" ht="15">
      <c r="A70" s="412" t="s">
        <v>65</v>
      </c>
      <c r="B70" s="413">
        <v>0</v>
      </c>
      <c r="C70" s="411">
        <v>0</v>
      </c>
      <c r="D70" s="414">
        <f t="shared" si="13"/>
        <v>0</v>
      </c>
      <c r="E70" s="411"/>
      <c r="F70" s="412" t="s">
        <v>65</v>
      </c>
      <c r="G70" s="413">
        <v>0</v>
      </c>
      <c r="H70" s="411">
        <v>0</v>
      </c>
      <c r="I70" s="414">
        <f t="shared" si="14"/>
        <v>0</v>
      </c>
      <c r="J70" s="411"/>
      <c r="K70" s="412" t="s">
        <v>65</v>
      </c>
      <c r="L70" s="413">
        <v>0</v>
      </c>
      <c r="M70" s="411">
        <v>0</v>
      </c>
      <c r="N70" s="414">
        <f t="shared" si="15"/>
        <v>0</v>
      </c>
      <c r="O70" s="411"/>
      <c r="P70" s="412" t="s">
        <v>65</v>
      </c>
      <c r="Q70" s="413">
        <v>0</v>
      </c>
      <c r="R70" s="411">
        <v>0</v>
      </c>
      <c r="S70" s="414">
        <f t="shared" si="16"/>
        <v>0</v>
      </c>
      <c r="T70" s="411"/>
      <c r="U70" s="412"/>
      <c r="V70" s="447"/>
      <c r="W70" s="447"/>
      <c r="X70" s="447"/>
    </row>
    <row r="71" spans="1:24" ht="15">
      <c r="A71" s="412" t="s">
        <v>32</v>
      </c>
      <c r="B71" s="413">
        <f>+B45*B58</f>
        <v>791532672</v>
      </c>
      <c r="C71" s="411">
        <f>+C45*C58</f>
        <v>0</v>
      </c>
      <c r="D71" s="414">
        <f t="shared" si="13"/>
        <v>791532672</v>
      </c>
      <c r="E71" s="411"/>
      <c r="F71" s="412" t="s">
        <v>32</v>
      </c>
      <c r="G71" s="413">
        <f>+G45*G58</f>
        <v>789467016.9598769</v>
      </c>
      <c r="H71" s="411">
        <f>+H45*H58</f>
        <v>0</v>
      </c>
      <c r="I71" s="414">
        <f t="shared" si="14"/>
        <v>789467016.9598769</v>
      </c>
      <c r="J71" s="411"/>
      <c r="K71" s="412" t="s">
        <v>32</v>
      </c>
      <c r="L71" s="413">
        <f>+L45*L58</f>
        <v>764000338.9934292</v>
      </c>
      <c r="M71" s="411">
        <f>+M45*M58</f>
        <v>0</v>
      </c>
      <c r="N71" s="414">
        <f t="shared" si="15"/>
        <v>764000338.9934292</v>
      </c>
      <c r="O71" s="411"/>
      <c r="P71" s="412" t="s">
        <v>32</v>
      </c>
      <c r="Q71" s="413">
        <f>+Q45*Q58</f>
        <v>789467016.9598769</v>
      </c>
      <c r="R71" s="411">
        <f>+R45*R58</f>
        <v>0</v>
      </c>
      <c r="S71" s="414">
        <f t="shared" si="16"/>
        <v>789467016.9598769</v>
      </c>
      <c r="T71" s="411"/>
      <c r="U71" s="412"/>
      <c r="V71" s="447"/>
      <c r="W71" s="447"/>
      <c r="X71" s="447"/>
    </row>
    <row r="72" spans="1:24" ht="15">
      <c r="A72" s="412" t="s">
        <v>34</v>
      </c>
      <c r="B72" s="413">
        <f>+B47*B59</f>
        <v>-90613926.4918197</v>
      </c>
      <c r="C72" s="411">
        <f>+C47*C59</f>
        <v>0</v>
      </c>
      <c r="D72" s="414">
        <f t="shared" si="13"/>
        <v>-90613926.4918197</v>
      </c>
      <c r="E72" s="411"/>
      <c r="F72" s="412" t="s">
        <v>34</v>
      </c>
      <c r="G72" s="413">
        <f>+G47*G59</f>
        <v>-110860719.08139569</v>
      </c>
      <c r="H72" s="411">
        <f>+H47*H59</f>
        <v>0</v>
      </c>
      <c r="I72" s="414">
        <f t="shared" si="14"/>
        <v>-110860719.08139569</v>
      </c>
      <c r="J72" s="411"/>
      <c r="K72" s="412" t="s">
        <v>34</v>
      </c>
      <c r="L72" s="413">
        <f>+L47*L59</f>
        <v>-79389619.80343904</v>
      </c>
      <c r="M72" s="411">
        <f>+M47*M59</f>
        <v>0</v>
      </c>
      <c r="N72" s="414">
        <f t="shared" si="15"/>
        <v>-79389619.80343904</v>
      </c>
      <c r="O72" s="411"/>
      <c r="P72" s="412" t="s">
        <v>34</v>
      </c>
      <c r="Q72" s="413">
        <f>+Q47*Q59</f>
        <v>-110396485.19986822</v>
      </c>
      <c r="R72" s="411">
        <f>+R47*R59</f>
        <v>0</v>
      </c>
      <c r="S72" s="414">
        <f t="shared" si="16"/>
        <v>-110396485.19986822</v>
      </c>
      <c r="T72" s="411"/>
      <c r="U72" s="412"/>
      <c r="V72" s="447"/>
      <c r="W72" s="447"/>
      <c r="X72" s="447"/>
    </row>
    <row r="73" spans="1:24" ht="15">
      <c r="A73" s="412" t="s">
        <v>16</v>
      </c>
      <c r="B73" s="413">
        <f>+B47*B60</f>
        <v>1202981825.8880584</v>
      </c>
      <c r="C73" s="411">
        <f>+C47*C60</f>
        <v>0</v>
      </c>
      <c r="D73" s="414">
        <f t="shared" si="13"/>
        <v>1202981825.8880584</v>
      </c>
      <c r="E73" s="411"/>
      <c r="F73" s="412" t="s">
        <v>16</v>
      </c>
      <c r="G73" s="413">
        <f>+G47*G60</f>
        <v>1316088557.7420008</v>
      </c>
      <c r="H73" s="411">
        <f>+H47*H60</f>
        <v>0</v>
      </c>
      <c r="I73" s="414">
        <f t="shared" si="14"/>
        <v>1316088557.7420008</v>
      </c>
      <c r="J73" s="411"/>
      <c r="K73" s="412" t="s">
        <v>16</v>
      </c>
      <c r="L73" s="413">
        <f>+L47*L60</f>
        <v>1386320946.0927138</v>
      </c>
      <c r="M73" s="411">
        <f>+M47*M60</f>
        <v>0</v>
      </c>
      <c r="N73" s="414">
        <f t="shared" si="15"/>
        <v>1386320946.0927138</v>
      </c>
      <c r="O73" s="411"/>
      <c r="P73" s="412" t="s">
        <v>16</v>
      </c>
      <c r="Q73" s="413">
        <f>+Q47*Q60</f>
        <v>1518470255.0172825</v>
      </c>
      <c r="R73" s="411">
        <f>+R47*R60</f>
        <v>0</v>
      </c>
      <c r="S73" s="414">
        <f t="shared" si="16"/>
        <v>1518470255.0172825</v>
      </c>
      <c r="T73" s="411"/>
      <c r="U73" s="412"/>
      <c r="V73" s="447"/>
      <c r="W73" s="447"/>
      <c r="X73" s="447"/>
    </row>
    <row r="74" spans="1:24" ht="15">
      <c r="A74" s="412" t="s">
        <v>35</v>
      </c>
      <c r="B74" s="413">
        <f>+B61*B47</f>
        <v>797735699.1185639</v>
      </c>
      <c r="C74" s="411">
        <f>+C47*C61</f>
        <v>0</v>
      </c>
      <c r="D74" s="414">
        <f t="shared" si="13"/>
        <v>797735699.1185639</v>
      </c>
      <c r="E74" s="411"/>
      <c r="F74" s="412" t="s">
        <v>35</v>
      </c>
      <c r="G74" s="413">
        <f>+G61*G47</f>
        <v>723681551.4506481</v>
      </c>
      <c r="H74" s="411">
        <f>+H47*H61</f>
        <v>0</v>
      </c>
      <c r="I74" s="414">
        <f t="shared" si="14"/>
        <v>723681551.4506481</v>
      </c>
      <c r="J74" s="411"/>
      <c r="K74" s="412" t="s">
        <v>35</v>
      </c>
      <c r="L74" s="413">
        <f>+L61*L47</f>
        <v>743659744.8389153</v>
      </c>
      <c r="M74" s="411">
        <f>+M47*M61</f>
        <v>0</v>
      </c>
      <c r="N74" s="414">
        <f t="shared" si="15"/>
        <v>743659744.8389153</v>
      </c>
      <c r="O74" s="411"/>
      <c r="P74" s="412" t="s">
        <v>35</v>
      </c>
      <c r="Q74" s="413">
        <f>+Q61*Q47</f>
        <v>746056879.9980617</v>
      </c>
      <c r="R74" s="411">
        <f>+R47*R61</f>
        <v>0</v>
      </c>
      <c r="S74" s="414">
        <f t="shared" si="16"/>
        <v>746056879.9980617</v>
      </c>
      <c r="T74" s="411"/>
      <c r="U74" s="412"/>
      <c r="V74" s="447"/>
      <c r="W74" s="447"/>
      <c r="X74" s="447"/>
    </row>
    <row r="75" spans="1:24" ht="15">
      <c r="A75" s="412" t="s">
        <v>36</v>
      </c>
      <c r="B75" s="413">
        <f>+B62*B47</f>
        <v>498764391.99999994</v>
      </c>
      <c r="C75" s="411">
        <f>+C62*C47</f>
        <v>0</v>
      </c>
      <c r="D75" s="414">
        <f t="shared" si="13"/>
        <v>498764391.99999994</v>
      </c>
      <c r="E75" s="411"/>
      <c r="F75" s="412" t="s">
        <v>36</v>
      </c>
      <c r="G75" s="413">
        <f>+G62*G47</f>
        <v>498764391.99999994</v>
      </c>
      <c r="H75" s="411">
        <f>+H62*H47</f>
        <v>0</v>
      </c>
      <c r="I75" s="414">
        <f t="shared" si="14"/>
        <v>498764391.99999994</v>
      </c>
      <c r="J75" s="411"/>
      <c r="K75" s="412" t="s">
        <v>36</v>
      </c>
      <c r="L75" s="413">
        <f>+L62*L47</f>
        <v>488377959.99999994</v>
      </c>
      <c r="M75" s="411">
        <f>+M62*M47</f>
        <v>0</v>
      </c>
      <c r="N75" s="414">
        <f t="shared" si="15"/>
        <v>488377959.99999994</v>
      </c>
      <c r="O75" s="411"/>
      <c r="P75" s="412" t="s">
        <v>36</v>
      </c>
      <c r="Q75" s="413">
        <f>+Q62*Q47</f>
        <v>498764391.99999994</v>
      </c>
      <c r="R75" s="411">
        <f>+R62*R47</f>
        <v>0</v>
      </c>
      <c r="S75" s="414">
        <f t="shared" si="16"/>
        <v>498764391.99999994</v>
      </c>
      <c r="T75" s="411"/>
      <c r="U75" s="412"/>
      <c r="V75" s="447"/>
      <c r="W75" s="447"/>
      <c r="X75" s="447"/>
    </row>
    <row r="76" spans="1:24" ht="15">
      <c r="A76" s="412" t="s">
        <v>70</v>
      </c>
      <c r="B76" s="413">
        <v>0</v>
      </c>
      <c r="C76" s="411">
        <v>0</v>
      </c>
      <c r="D76" s="414">
        <f t="shared" si="13"/>
        <v>0</v>
      </c>
      <c r="E76" s="411"/>
      <c r="F76" s="412" t="s">
        <v>70</v>
      </c>
      <c r="G76" s="413">
        <v>0</v>
      </c>
      <c r="H76" s="411">
        <v>0</v>
      </c>
      <c r="I76" s="414">
        <f t="shared" si="14"/>
        <v>0</v>
      </c>
      <c r="J76" s="411"/>
      <c r="K76" s="412" t="s">
        <v>70</v>
      </c>
      <c r="L76" s="413">
        <v>0</v>
      </c>
      <c r="M76" s="411">
        <v>0</v>
      </c>
      <c r="N76" s="414">
        <f t="shared" si="15"/>
        <v>0</v>
      </c>
      <c r="O76" s="411"/>
      <c r="P76" s="412" t="s">
        <v>70</v>
      </c>
      <c r="Q76" s="413">
        <v>0</v>
      </c>
      <c r="R76" s="411">
        <v>0</v>
      </c>
      <c r="S76" s="414">
        <f t="shared" si="16"/>
        <v>0</v>
      </c>
      <c r="T76" s="411"/>
      <c r="U76" s="412"/>
      <c r="V76" s="447"/>
      <c r="W76" s="447"/>
      <c r="X76" s="447"/>
    </row>
    <row r="77" spans="1:24" ht="15">
      <c r="A77" s="412" t="s">
        <v>80</v>
      </c>
      <c r="B77" s="413">
        <v>0</v>
      </c>
      <c r="C77" s="411">
        <v>0</v>
      </c>
      <c r="D77" s="414">
        <f t="shared" si="13"/>
        <v>0</v>
      </c>
      <c r="E77" s="411"/>
      <c r="F77" s="412" t="s">
        <v>80</v>
      </c>
      <c r="G77" s="413">
        <v>0</v>
      </c>
      <c r="H77" s="411">
        <v>0</v>
      </c>
      <c r="I77" s="414">
        <f t="shared" si="14"/>
        <v>0</v>
      </c>
      <c r="J77" s="411"/>
      <c r="K77" s="412" t="s">
        <v>80</v>
      </c>
      <c r="L77" s="413">
        <v>0</v>
      </c>
      <c r="M77" s="411">
        <v>0</v>
      </c>
      <c r="N77" s="414">
        <f t="shared" si="15"/>
        <v>0</v>
      </c>
      <c r="O77" s="411"/>
      <c r="P77" s="412" t="s">
        <v>80</v>
      </c>
      <c r="Q77" s="413">
        <v>0</v>
      </c>
      <c r="R77" s="411">
        <v>0</v>
      </c>
      <c r="S77" s="414">
        <f t="shared" si="16"/>
        <v>0</v>
      </c>
      <c r="T77" s="411"/>
      <c r="U77" s="412"/>
      <c r="V77" s="447"/>
      <c r="W77" s="447"/>
      <c r="X77" s="447"/>
    </row>
    <row r="78" spans="1:24" ht="15">
      <c r="A78" s="419" t="s">
        <v>81</v>
      </c>
      <c r="B78" s="430">
        <v>0</v>
      </c>
      <c r="C78" s="431">
        <v>0</v>
      </c>
      <c r="D78" s="432">
        <f aca="true" t="shared" si="17" ref="D78">SUM(B78:C78)</f>
        <v>0</v>
      </c>
      <c r="E78" s="411"/>
      <c r="F78" s="419" t="s">
        <v>81</v>
      </c>
      <c r="G78" s="430">
        <v>0</v>
      </c>
      <c r="H78" s="431">
        <v>0</v>
      </c>
      <c r="I78" s="432">
        <f aca="true" t="shared" si="18" ref="I78">SUM(G78:H78)</f>
        <v>0</v>
      </c>
      <c r="J78" s="411"/>
      <c r="K78" s="419" t="s">
        <v>81</v>
      </c>
      <c r="L78" s="430">
        <v>0</v>
      </c>
      <c r="M78" s="431">
        <v>0</v>
      </c>
      <c r="N78" s="432">
        <f aca="true" t="shared" si="19" ref="N78">SUM(L78:M78)</f>
        <v>0</v>
      </c>
      <c r="O78" s="411"/>
      <c r="P78" s="419" t="s">
        <v>81</v>
      </c>
      <c r="Q78" s="430">
        <v>0</v>
      </c>
      <c r="R78" s="431">
        <v>0</v>
      </c>
      <c r="S78" s="432">
        <f aca="true" t="shared" si="20" ref="S78">SUM(Q78:R78)</f>
        <v>0</v>
      </c>
      <c r="T78" s="411"/>
      <c r="U78" s="419"/>
      <c r="V78" s="447"/>
      <c r="W78" s="447"/>
      <c r="X78" s="447"/>
    </row>
    <row r="79" spans="1:24" ht="15.6" thickBot="1">
      <c r="A79" s="412" t="s">
        <v>79</v>
      </c>
      <c r="B79" s="420">
        <f>SUM(B68:B78)</f>
        <v>3213171690.3548026</v>
      </c>
      <c r="C79" s="421">
        <f>SUM(C68:C78)</f>
        <v>0</v>
      </c>
      <c r="D79" s="422">
        <f>SUM(D68:D78)</f>
        <v>3213171690.3548026</v>
      </c>
      <c r="E79" s="411"/>
      <c r="F79" s="412" t="s">
        <v>79</v>
      </c>
      <c r="G79" s="420">
        <f>SUM(G68:G78)</f>
        <v>3229911826.91113</v>
      </c>
      <c r="H79" s="421">
        <f>SUM(H68:H78)</f>
        <v>0</v>
      </c>
      <c r="I79" s="422">
        <f>SUM(I68:I78)</f>
        <v>3229911826.91113</v>
      </c>
      <c r="J79" s="411"/>
      <c r="K79" s="412" t="s">
        <v>79</v>
      </c>
      <c r="L79" s="420">
        <f>SUM(L68:L78)</f>
        <v>3315328429.3216195</v>
      </c>
      <c r="M79" s="421">
        <f>SUM(M68:M78)</f>
        <v>0</v>
      </c>
      <c r="N79" s="422">
        <f>SUM(N68:N78)</f>
        <v>3315328429.3216195</v>
      </c>
      <c r="O79" s="411"/>
      <c r="P79" s="412" t="s">
        <v>79</v>
      </c>
      <c r="Q79" s="420">
        <f>SUM(Q68:Q78)</f>
        <v>3455133086.615353</v>
      </c>
      <c r="R79" s="421">
        <f>SUM(R68:R78)</f>
        <v>0</v>
      </c>
      <c r="S79" s="422">
        <f>SUM(S68:S78)</f>
        <v>3455133086.615353</v>
      </c>
      <c r="T79" s="411"/>
      <c r="U79" s="412"/>
      <c r="V79" s="447"/>
      <c r="W79" s="447"/>
      <c r="X79" s="447"/>
    </row>
    <row r="80" spans="1:24" ht="15">
      <c r="A80" s="447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</row>
    <row r="81" spans="1:24" ht="15">
      <c r="A81" s="447"/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</row>
    <row r="82" spans="1:24" ht="15">
      <c r="A82" s="447"/>
      <c r="B82" s="501">
        <v>41579</v>
      </c>
      <c r="C82" s="499"/>
      <c r="D82" s="500"/>
      <c r="E82" s="405"/>
      <c r="F82" s="447"/>
      <c r="G82" s="501">
        <v>41671</v>
      </c>
      <c r="H82" s="499"/>
      <c r="I82" s="500"/>
      <c r="J82" s="405"/>
      <c r="K82" s="447"/>
      <c r="L82" s="501">
        <v>41760</v>
      </c>
      <c r="M82" s="499"/>
      <c r="N82" s="500"/>
      <c r="O82" s="405"/>
      <c r="P82" s="447"/>
      <c r="Q82" s="501">
        <v>41852</v>
      </c>
      <c r="R82" s="499"/>
      <c r="S82" s="500"/>
      <c r="T82" s="405"/>
      <c r="U82" s="448"/>
      <c r="V82" s="447"/>
      <c r="W82" s="447"/>
      <c r="X82" s="447"/>
    </row>
    <row r="83" spans="1:24" ht="15">
      <c r="A83" s="447"/>
      <c r="B83" s="426" t="s">
        <v>42</v>
      </c>
      <c r="C83" s="405" t="s">
        <v>43</v>
      </c>
      <c r="D83" s="427" t="s">
        <v>33</v>
      </c>
      <c r="E83" s="405"/>
      <c r="F83" s="447"/>
      <c r="G83" s="426" t="s">
        <v>42</v>
      </c>
      <c r="H83" s="405" t="s">
        <v>43</v>
      </c>
      <c r="I83" s="427" t="s">
        <v>33</v>
      </c>
      <c r="J83" s="405"/>
      <c r="K83" s="447"/>
      <c r="L83" s="426" t="s">
        <v>42</v>
      </c>
      <c r="M83" s="405" t="s">
        <v>43</v>
      </c>
      <c r="N83" s="427" t="s">
        <v>33</v>
      </c>
      <c r="O83" s="405"/>
      <c r="P83" s="447"/>
      <c r="Q83" s="426" t="s">
        <v>42</v>
      </c>
      <c r="R83" s="405" t="s">
        <v>43</v>
      </c>
      <c r="S83" s="427" t="s">
        <v>33</v>
      </c>
      <c r="T83" s="405"/>
      <c r="U83" s="412"/>
      <c r="V83" s="447"/>
      <c r="W83" s="447"/>
      <c r="X83" s="447"/>
    </row>
    <row r="84" spans="1:24" ht="15">
      <c r="A84" s="409" t="s">
        <v>60</v>
      </c>
      <c r="B84" s="428"/>
      <c r="C84" s="410"/>
      <c r="D84" s="429"/>
      <c r="E84" s="410"/>
      <c r="F84" s="409" t="s">
        <v>60</v>
      </c>
      <c r="G84" s="428"/>
      <c r="H84" s="410"/>
      <c r="I84" s="429"/>
      <c r="J84" s="410"/>
      <c r="K84" s="409" t="s">
        <v>60</v>
      </c>
      <c r="L84" s="428"/>
      <c r="M84" s="410"/>
      <c r="N84" s="429"/>
      <c r="O84" s="410"/>
      <c r="P84" s="409" t="s">
        <v>60</v>
      </c>
      <c r="Q84" s="428"/>
      <c r="R84" s="410"/>
      <c r="S84" s="429"/>
      <c r="T84" s="410"/>
      <c r="U84" s="412"/>
      <c r="V84" s="447"/>
      <c r="W84" s="447"/>
      <c r="X84" s="447"/>
    </row>
    <row r="85" spans="1:24" ht="15">
      <c r="A85" s="412" t="s">
        <v>61</v>
      </c>
      <c r="B85" s="413">
        <f>+'[2]Stmts RUS'!$Q$10*1000000000</f>
        <v>259660799.99999997</v>
      </c>
      <c r="C85" s="411">
        <f>+'[2]Stmts RUS'!$Q$9*1000000</f>
        <v>0</v>
      </c>
      <c r="D85" s="414">
        <f>SUM(B85:C85)</f>
        <v>259660799.99999997</v>
      </c>
      <c r="E85" s="411"/>
      <c r="F85" s="412" t="s">
        <v>61</v>
      </c>
      <c r="G85" s="413">
        <f>+'[2]Stmts RUS'!$U$10*1000000000</f>
        <v>242350080</v>
      </c>
      <c r="H85" s="411">
        <f>+'[2]Stmts RUS'!$U$9*1000000</f>
        <v>0</v>
      </c>
      <c r="I85" s="414">
        <f>SUM(G85:H85)</f>
        <v>242350080</v>
      </c>
      <c r="J85" s="411"/>
      <c r="K85" s="412" t="s">
        <v>61</v>
      </c>
      <c r="L85" s="413">
        <f>+'[2]Stmts RUS'!$X$10*1000000000</f>
        <v>268316159.99999997</v>
      </c>
      <c r="M85" s="411">
        <f>+'[2]Stmts RUS'!$X$9*1000000</f>
        <v>0</v>
      </c>
      <c r="N85" s="414">
        <f>SUM(L85:M85)</f>
        <v>268316159.99999997</v>
      </c>
      <c r="O85" s="411"/>
      <c r="P85" s="412" t="s">
        <v>61</v>
      </c>
      <c r="Q85" s="413">
        <f>+'[2]Stmts RUS'!$AA$10*1000000000</f>
        <v>268316159.99999997</v>
      </c>
      <c r="R85" s="411">
        <f>+'[2]Stmts RUS'!$AA$9*1000000</f>
        <v>0</v>
      </c>
      <c r="S85" s="414">
        <f>SUM(Q85:R85)</f>
        <v>268316159.99999997</v>
      </c>
      <c r="T85" s="411"/>
      <c r="U85" s="412"/>
      <c r="V85" s="447"/>
      <c r="W85" s="447"/>
      <c r="X85" s="447"/>
    </row>
    <row r="86" spans="1:24" ht="15">
      <c r="A86" s="412" t="s">
        <v>62</v>
      </c>
      <c r="B86" s="430">
        <v>0</v>
      </c>
      <c r="C86" s="431">
        <v>0</v>
      </c>
      <c r="D86" s="432">
        <f>SUM(B86:C86)</f>
        <v>0</v>
      </c>
      <c r="E86" s="411"/>
      <c r="F86" s="412" t="s">
        <v>62</v>
      </c>
      <c r="G86" s="430">
        <v>0</v>
      </c>
      <c r="H86" s="431">
        <v>0</v>
      </c>
      <c r="I86" s="432">
        <f>SUM(G86:H86)</f>
        <v>0</v>
      </c>
      <c r="J86" s="411"/>
      <c r="K86" s="412" t="s">
        <v>62</v>
      </c>
      <c r="L86" s="430">
        <v>0</v>
      </c>
      <c r="M86" s="431">
        <v>0</v>
      </c>
      <c r="N86" s="432">
        <f>SUM(L86:M86)</f>
        <v>0</v>
      </c>
      <c r="O86" s="411"/>
      <c r="P86" s="412" t="s">
        <v>62</v>
      </c>
      <c r="Q86" s="430">
        <v>0</v>
      </c>
      <c r="R86" s="431">
        <v>0</v>
      </c>
      <c r="S86" s="432">
        <f>SUM(Q86:R86)</f>
        <v>0</v>
      </c>
      <c r="T86" s="411"/>
      <c r="U86" s="412"/>
      <c r="V86" s="447"/>
      <c r="W86" s="447"/>
      <c r="X86" s="447"/>
    </row>
    <row r="87" spans="1:24" ht="15">
      <c r="A87" s="412" t="s">
        <v>63</v>
      </c>
      <c r="B87" s="413">
        <f>SUM(B85:B86)</f>
        <v>259660799.99999997</v>
      </c>
      <c r="C87" s="411">
        <f>SUM(C85:C86)</f>
        <v>0</v>
      </c>
      <c r="D87" s="414">
        <f>SUM(D85:D86)</f>
        <v>259660799.99999997</v>
      </c>
      <c r="E87" s="411"/>
      <c r="F87" s="412" t="s">
        <v>63</v>
      </c>
      <c r="G87" s="413">
        <f>SUM(G85:G86)</f>
        <v>242350080</v>
      </c>
      <c r="H87" s="411">
        <f>SUM(H85:H86)</f>
        <v>0</v>
      </c>
      <c r="I87" s="414">
        <f>SUM(I85:I86)</f>
        <v>242350080</v>
      </c>
      <c r="J87" s="411"/>
      <c r="K87" s="412" t="s">
        <v>63</v>
      </c>
      <c r="L87" s="413">
        <f>SUM(L85:L86)</f>
        <v>268316159.99999997</v>
      </c>
      <c r="M87" s="411">
        <f>SUM(M85:M86)</f>
        <v>0</v>
      </c>
      <c r="N87" s="414">
        <f>SUM(N85:N86)</f>
        <v>268316159.99999997</v>
      </c>
      <c r="O87" s="411"/>
      <c r="P87" s="412" t="s">
        <v>63</v>
      </c>
      <c r="Q87" s="413">
        <f>SUM(Q85:Q86)</f>
        <v>268316159.99999997</v>
      </c>
      <c r="R87" s="411">
        <f>SUM(R85:R86)</f>
        <v>0</v>
      </c>
      <c r="S87" s="414">
        <f>SUM(S85:S86)</f>
        <v>268316159.99999997</v>
      </c>
      <c r="T87" s="411"/>
      <c r="U87" s="412"/>
      <c r="V87" s="447"/>
      <c r="W87" s="447"/>
      <c r="X87" s="447"/>
    </row>
    <row r="88" spans="1:24" ht="15">
      <c r="A88" s="412" t="s">
        <v>65</v>
      </c>
      <c r="B88" s="413">
        <v>0</v>
      </c>
      <c r="C88" s="411">
        <v>0</v>
      </c>
      <c r="D88" s="414">
        <f>SUM(B88:C88)</f>
        <v>0</v>
      </c>
      <c r="E88" s="411"/>
      <c r="F88" s="412" t="s">
        <v>65</v>
      </c>
      <c r="G88" s="413">
        <v>0</v>
      </c>
      <c r="H88" s="411">
        <v>0</v>
      </c>
      <c r="I88" s="414">
        <f>SUM(G88:H88)</f>
        <v>0</v>
      </c>
      <c r="J88" s="411"/>
      <c r="K88" s="412" t="s">
        <v>65</v>
      </c>
      <c r="L88" s="413">
        <v>0</v>
      </c>
      <c r="M88" s="411">
        <v>0</v>
      </c>
      <c r="N88" s="414">
        <f>SUM(L88:M88)</f>
        <v>0</v>
      </c>
      <c r="O88" s="411"/>
      <c r="P88" s="412" t="s">
        <v>65</v>
      </c>
      <c r="Q88" s="413">
        <v>0</v>
      </c>
      <c r="R88" s="411">
        <v>0</v>
      </c>
      <c r="S88" s="414">
        <f>SUM(Q88:R88)</f>
        <v>0</v>
      </c>
      <c r="T88" s="411"/>
      <c r="U88" s="412"/>
      <c r="V88" s="447"/>
      <c r="W88" s="447"/>
      <c r="X88" s="447"/>
    </row>
    <row r="89" spans="1:24" ht="15">
      <c r="A89" s="412" t="s">
        <v>66</v>
      </c>
      <c r="B89" s="413">
        <v>0</v>
      </c>
      <c r="C89" s="411">
        <v>0</v>
      </c>
      <c r="D89" s="414">
        <f>SUM(B89:C89)</f>
        <v>0</v>
      </c>
      <c r="E89" s="411"/>
      <c r="F89" s="412" t="s">
        <v>66</v>
      </c>
      <c r="G89" s="413">
        <v>0</v>
      </c>
      <c r="H89" s="411">
        <v>0</v>
      </c>
      <c r="I89" s="414">
        <f>SUM(G89:H89)</f>
        <v>0</v>
      </c>
      <c r="J89" s="411"/>
      <c r="K89" s="412" t="s">
        <v>66</v>
      </c>
      <c r="L89" s="413">
        <v>0</v>
      </c>
      <c r="M89" s="411">
        <v>0</v>
      </c>
      <c r="N89" s="414">
        <f>SUM(L89:M89)</f>
        <v>0</v>
      </c>
      <c r="O89" s="411"/>
      <c r="P89" s="412" t="s">
        <v>66</v>
      </c>
      <c r="Q89" s="413">
        <v>0</v>
      </c>
      <c r="R89" s="411">
        <v>0</v>
      </c>
      <c r="S89" s="414">
        <f>SUM(Q89:R89)</f>
        <v>0</v>
      </c>
      <c r="T89" s="411"/>
      <c r="U89" s="406"/>
      <c r="V89" s="447"/>
      <c r="W89" s="447"/>
      <c r="X89" s="447"/>
    </row>
    <row r="90" spans="1:24" ht="15">
      <c r="A90" s="412" t="s">
        <v>64</v>
      </c>
      <c r="B90" s="413">
        <v>0</v>
      </c>
      <c r="C90" s="411">
        <v>0</v>
      </c>
      <c r="D90" s="414">
        <v>0</v>
      </c>
      <c r="E90" s="411"/>
      <c r="F90" s="412" t="s">
        <v>64</v>
      </c>
      <c r="G90" s="413">
        <v>0</v>
      </c>
      <c r="H90" s="411">
        <v>0</v>
      </c>
      <c r="I90" s="414">
        <v>0</v>
      </c>
      <c r="J90" s="411"/>
      <c r="K90" s="412" t="s">
        <v>64</v>
      </c>
      <c r="L90" s="413">
        <v>0</v>
      </c>
      <c r="M90" s="411">
        <v>0</v>
      </c>
      <c r="N90" s="414">
        <v>0</v>
      </c>
      <c r="O90" s="411"/>
      <c r="P90" s="412" t="s">
        <v>64</v>
      </c>
      <c r="Q90" s="413">
        <v>0</v>
      </c>
      <c r="R90" s="411">
        <v>0</v>
      </c>
      <c r="S90" s="414">
        <v>0</v>
      </c>
      <c r="T90" s="411"/>
      <c r="U90" s="412"/>
      <c r="V90" s="447"/>
      <c r="W90" s="447"/>
      <c r="X90" s="447"/>
    </row>
    <row r="91" spans="1:24" ht="15">
      <c r="A91" s="406"/>
      <c r="B91" s="430"/>
      <c r="C91" s="431"/>
      <c r="D91" s="432"/>
      <c r="E91" s="411"/>
      <c r="F91" s="406"/>
      <c r="G91" s="430"/>
      <c r="H91" s="431"/>
      <c r="I91" s="432"/>
      <c r="J91" s="411"/>
      <c r="K91" s="406"/>
      <c r="L91" s="430"/>
      <c r="M91" s="431"/>
      <c r="N91" s="432"/>
      <c r="O91" s="411"/>
      <c r="P91" s="406"/>
      <c r="Q91" s="430"/>
      <c r="R91" s="431"/>
      <c r="S91" s="432"/>
      <c r="T91" s="411"/>
      <c r="U91" s="406"/>
      <c r="V91" s="447"/>
      <c r="W91" s="447"/>
      <c r="X91" s="447"/>
    </row>
    <row r="92" spans="1:24" ht="15">
      <c r="A92" s="412" t="s">
        <v>76</v>
      </c>
      <c r="B92" s="413">
        <f>SUM(B87:B91)</f>
        <v>259660799.99999997</v>
      </c>
      <c r="C92" s="411">
        <f>SUM(C87:C91)</f>
        <v>0</v>
      </c>
      <c r="D92" s="414">
        <f>SUM(D87:D91)</f>
        <v>259660799.99999997</v>
      </c>
      <c r="E92" s="411"/>
      <c r="F92" s="412" t="s">
        <v>76</v>
      </c>
      <c r="G92" s="413">
        <f>SUM(G87:G91)</f>
        <v>242350080</v>
      </c>
      <c r="H92" s="411">
        <f>SUM(H87:H91)</f>
        <v>0</v>
      </c>
      <c r="I92" s="414">
        <f>SUM(I87:I91)</f>
        <v>242350080</v>
      </c>
      <c r="J92" s="411"/>
      <c r="K92" s="412" t="s">
        <v>76</v>
      </c>
      <c r="L92" s="413">
        <f>SUM(L87:L91)</f>
        <v>268316159.99999997</v>
      </c>
      <c r="M92" s="411">
        <f>SUM(M87:M91)</f>
        <v>0</v>
      </c>
      <c r="N92" s="414">
        <f>SUM(N87:N91)</f>
        <v>268316159.99999997</v>
      </c>
      <c r="O92" s="411"/>
      <c r="P92" s="412" t="s">
        <v>76</v>
      </c>
      <c r="Q92" s="413">
        <f>SUM(Q87:Q91)</f>
        <v>268316159.99999997</v>
      </c>
      <c r="R92" s="411">
        <f>SUM(R87:R91)</f>
        <v>0</v>
      </c>
      <c r="S92" s="414">
        <f>SUM(S87:S91)</f>
        <v>268316159.99999997</v>
      </c>
      <c r="T92" s="411"/>
      <c r="U92" s="448"/>
      <c r="V92" s="447"/>
      <c r="W92" s="447"/>
      <c r="X92" s="447"/>
    </row>
    <row r="93" spans="1:24" ht="15">
      <c r="A93" s="406"/>
      <c r="B93" s="428"/>
      <c r="C93" s="410"/>
      <c r="D93" s="429"/>
      <c r="E93" s="410"/>
      <c r="F93" s="406"/>
      <c r="G93" s="428"/>
      <c r="H93" s="410"/>
      <c r="I93" s="429"/>
      <c r="J93" s="410"/>
      <c r="K93" s="406"/>
      <c r="L93" s="428"/>
      <c r="M93" s="410"/>
      <c r="N93" s="429"/>
      <c r="O93" s="410"/>
      <c r="P93" s="406"/>
      <c r="Q93" s="428"/>
      <c r="R93" s="410"/>
      <c r="S93" s="429"/>
      <c r="T93" s="410"/>
      <c r="U93" s="412"/>
      <c r="V93" s="447"/>
      <c r="W93" s="447"/>
      <c r="X93" s="447"/>
    </row>
    <row r="94" spans="1:24" ht="15">
      <c r="A94" s="409" t="s">
        <v>84</v>
      </c>
      <c r="B94" s="428"/>
      <c r="C94" s="410"/>
      <c r="D94" s="429"/>
      <c r="E94" s="410"/>
      <c r="F94" s="409" t="s">
        <v>84</v>
      </c>
      <c r="G94" s="428"/>
      <c r="H94" s="410"/>
      <c r="I94" s="429"/>
      <c r="J94" s="410"/>
      <c r="K94" s="409" t="s">
        <v>84</v>
      </c>
      <c r="L94" s="428"/>
      <c r="M94" s="410"/>
      <c r="N94" s="429"/>
      <c r="O94" s="410"/>
      <c r="P94" s="409" t="s">
        <v>84</v>
      </c>
      <c r="Q94" s="428"/>
      <c r="R94" s="410"/>
      <c r="S94" s="429"/>
      <c r="T94" s="410"/>
      <c r="U94" s="412"/>
      <c r="V94" s="447"/>
      <c r="W94" s="447"/>
      <c r="X94" s="447"/>
    </row>
    <row r="95" spans="1:24" ht="15">
      <c r="A95" s="412" t="s">
        <v>31</v>
      </c>
      <c r="B95" s="433">
        <f>+'[2]Stmts RUS'!$Q$71/1000</f>
        <v>0.04759693877551021</v>
      </c>
      <c r="C95" s="415">
        <v>0</v>
      </c>
      <c r="D95" s="434">
        <f>D108/D85</f>
        <v>0.04759693877551021</v>
      </c>
      <c r="E95" s="416"/>
      <c r="F95" s="412" t="s">
        <v>31</v>
      </c>
      <c r="G95" s="433">
        <f>+'[2]Stmts RUS'!$U$71/1000</f>
        <v>0.04759693877551021</v>
      </c>
      <c r="H95" s="415">
        <v>0</v>
      </c>
      <c r="I95" s="434">
        <f>I108/I85</f>
        <v>0.04759693877551021</v>
      </c>
      <c r="J95" s="416"/>
      <c r="K95" s="412" t="s">
        <v>31</v>
      </c>
      <c r="L95" s="433">
        <f>+'[2]Stmts RUS'!$X$71/1000</f>
        <v>0.04759693877551021</v>
      </c>
      <c r="M95" s="415">
        <v>0</v>
      </c>
      <c r="N95" s="434">
        <f>N108/N85</f>
        <v>0.04759693877551021</v>
      </c>
      <c r="O95" s="416"/>
      <c r="P95" s="412" t="s">
        <v>31</v>
      </c>
      <c r="Q95" s="433">
        <f>+'[2]Stmts RUS'!$AA$71/1000</f>
        <v>0.04759693877551021</v>
      </c>
      <c r="R95" s="415">
        <v>0</v>
      </c>
      <c r="S95" s="434">
        <f>S108/S85</f>
        <v>0.04759693877551021</v>
      </c>
      <c r="T95" s="416"/>
      <c r="U95" s="412"/>
      <c r="V95" s="447"/>
      <c r="W95" s="447"/>
      <c r="X95" s="447"/>
    </row>
    <row r="96" spans="1:24" ht="15">
      <c r="A96" s="412" t="s">
        <v>62</v>
      </c>
      <c r="B96" s="435">
        <f>IF(B86=0,0,B109/B86)</f>
        <v>0</v>
      </c>
      <c r="C96" s="416">
        <f>IF(C86=0,0,C109/C86)</f>
        <v>0</v>
      </c>
      <c r="D96" s="436">
        <f>IF(D86=0,0,D109/D86)</f>
        <v>0</v>
      </c>
      <c r="E96" s="416"/>
      <c r="F96" s="412" t="s">
        <v>62</v>
      </c>
      <c r="G96" s="435">
        <f>IF(G86=0,0,G109/G86)</f>
        <v>0</v>
      </c>
      <c r="H96" s="416">
        <f>IF(H86=0,0,H109/H86)</f>
        <v>0</v>
      </c>
      <c r="I96" s="436">
        <f>IF(I86=0,0,I109/I86)</f>
        <v>0</v>
      </c>
      <c r="J96" s="416"/>
      <c r="K96" s="412" t="s">
        <v>62</v>
      </c>
      <c r="L96" s="435">
        <f>IF(L86=0,0,L109/L86)</f>
        <v>0</v>
      </c>
      <c r="M96" s="416">
        <f>IF(M86=0,0,M109/M86)</f>
        <v>0</v>
      </c>
      <c r="N96" s="436">
        <f>IF(N86=0,0,N109/N86)</f>
        <v>0</v>
      </c>
      <c r="O96" s="416"/>
      <c r="P96" s="412" t="s">
        <v>62</v>
      </c>
      <c r="Q96" s="435">
        <f>IF(Q86=0,0,Q109/Q86)</f>
        <v>0</v>
      </c>
      <c r="R96" s="416">
        <f>IF(R86=0,0,R109/R86)</f>
        <v>0</v>
      </c>
      <c r="S96" s="436">
        <f>IF(S86=0,0,S109/S86)</f>
        <v>0</v>
      </c>
      <c r="T96" s="416"/>
      <c r="U96" s="412"/>
      <c r="V96" s="447"/>
      <c r="W96" s="447"/>
      <c r="X96" s="447"/>
    </row>
    <row r="97" spans="1:24" ht="15">
      <c r="A97" s="412" t="s">
        <v>65</v>
      </c>
      <c r="B97" s="435">
        <f>IF(B88=0,0,B110/B88)</f>
        <v>0</v>
      </c>
      <c r="C97" s="416">
        <f>IF(C88=0,0,C110/C88)</f>
        <v>0</v>
      </c>
      <c r="D97" s="436">
        <f>IF(D88=0,0,D110/D88)</f>
        <v>0</v>
      </c>
      <c r="E97" s="416"/>
      <c r="F97" s="412" t="s">
        <v>65</v>
      </c>
      <c r="G97" s="435">
        <f>IF(G88=0,0,G110/G88)</f>
        <v>0</v>
      </c>
      <c r="H97" s="416">
        <f>IF(H88=0,0,H110/H88)</f>
        <v>0</v>
      </c>
      <c r="I97" s="436">
        <f>IF(I88=0,0,I110/I88)</f>
        <v>0</v>
      </c>
      <c r="J97" s="416"/>
      <c r="K97" s="412" t="s">
        <v>65</v>
      </c>
      <c r="L97" s="435">
        <f>IF(L88=0,0,L110/L88)</f>
        <v>0</v>
      </c>
      <c r="M97" s="416">
        <f>IF(M88=0,0,M110/M88)</f>
        <v>0</v>
      </c>
      <c r="N97" s="436">
        <f>IF(N88=0,0,N110/N88)</f>
        <v>0</v>
      </c>
      <c r="O97" s="416"/>
      <c r="P97" s="412" t="s">
        <v>65</v>
      </c>
      <c r="Q97" s="435">
        <f>IF(Q88=0,0,Q110/Q88)</f>
        <v>0</v>
      </c>
      <c r="R97" s="416">
        <f>IF(R88=0,0,R110/R88)</f>
        <v>0</v>
      </c>
      <c r="S97" s="436">
        <f>IF(S88=0,0,S110/S88)</f>
        <v>0</v>
      </c>
      <c r="T97" s="416"/>
      <c r="U97" s="412"/>
      <c r="V97" s="447"/>
      <c r="W97" s="447"/>
      <c r="X97" s="447"/>
    </row>
    <row r="98" spans="1:24" ht="15">
      <c r="A98" s="412" t="s">
        <v>32</v>
      </c>
      <c r="B98" s="435">
        <f>+'[2]Stmts RUS'!$Q$72</f>
        <v>2.95</v>
      </c>
      <c r="C98" s="416">
        <v>0</v>
      </c>
      <c r="D98" s="436">
        <f>D111/D85</f>
        <v>2.95</v>
      </c>
      <c r="E98" s="416"/>
      <c r="F98" s="412" t="s">
        <v>32</v>
      </c>
      <c r="G98" s="435">
        <f>+'[2]Stmts RUS'!$U$72</f>
        <v>2.9423014139732655</v>
      </c>
      <c r="H98" s="416">
        <v>0</v>
      </c>
      <c r="I98" s="436">
        <f>I111/I85</f>
        <v>2.9423014139732655</v>
      </c>
      <c r="J98" s="416"/>
      <c r="K98" s="412" t="s">
        <v>32</v>
      </c>
      <c r="L98" s="435">
        <f>+'[2]Stmts RUS'!$X$72</f>
        <v>2.9423014139732655</v>
      </c>
      <c r="M98" s="416">
        <v>0</v>
      </c>
      <c r="N98" s="436">
        <f>N111/N85</f>
        <v>2.9423014139732655</v>
      </c>
      <c r="O98" s="416"/>
      <c r="P98" s="412" t="s">
        <v>32</v>
      </c>
      <c r="Q98" s="435">
        <f>+'[2]Stmts RUS'!$AA$72</f>
        <v>2.9423014139732655</v>
      </c>
      <c r="R98" s="416">
        <v>0</v>
      </c>
      <c r="S98" s="436">
        <f>S111/S85</f>
        <v>2.9423014139732655</v>
      </c>
      <c r="T98" s="416"/>
      <c r="U98" s="412"/>
      <c r="V98" s="447"/>
      <c r="W98" s="447"/>
      <c r="X98" s="447"/>
    </row>
    <row r="99" spans="1:24" ht="15">
      <c r="A99" s="412" t="s">
        <v>34</v>
      </c>
      <c r="B99" s="435">
        <f>+'[2]Stmts RUS'!$Q$74</f>
        <v>-0.3529858222381471</v>
      </c>
      <c r="C99" s="416">
        <v>0</v>
      </c>
      <c r="D99" s="436">
        <f>D112/D87</f>
        <v>-0.3529858222381471</v>
      </c>
      <c r="E99" s="416"/>
      <c r="F99" s="412" t="s">
        <v>34</v>
      </c>
      <c r="G99" s="435">
        <f>+'[2]Stmts RUS'!$U$74</f>
        <v>-0.3497337232558747</v>
      </c>
      <c r="H99" s="416">
        <v>0</v>
      </c>
      <c r="I99" s="436">
        <f>I112/I87</f>
        <v>-0.3497337232558747</v>
      </c>
      <c r="J99" s="416"/>
      <c r="K99" s="412" t="s">
        <v>34</v>
      </c>
      <c r="L99" s="435">
        <f>+'[2]Stmts RUS'!$X$74</f>
        <v>-0.3366791921842872</v>
      </c>
      <c r="M99" s="416">
        <v>0</v>
      </c>
      <c r="N99" s="436">
        <f>N112/N87</f>
        <v>-0.3366791921842872</v>
      </c>
      <c r="O99" s="416"/>
      <c r="P99" s="412" t="s">
        <v>34</v>
      </c>
      <c r="Q99" s="435">
        <f>+'[2]Stmts RUS'!$AA$74</f>
        <v>-0.4035687324294444</v>
      </c>
      <c r="R99" s="416">
        <v>0</v>
      </c>
      <c r="S99" s="436">
        <f>S112/S87</f>
        <v>-0.4035687324294444</v>
      </c>
      <c r="T99" s="416"/>
      <c r="U99" s="412"/>
      <c r="V99" s="447"/>
      <c r="W99" s="447"/>
      <c r="X99" s="447"/>
    </row>
    <row r="100" spans="1:24" ht="15">
      <c r="A100" s="412" t="s">
        <v>16</v>
      </c>
      <c r="B100" s="435">
        <f>+'[2]Stmts RUS'!$Q$75</f>
        <v>4.606105404305179</v>
      </c>
      <c r="C100" s="416">
        <v>0</v>
      </c>
      <c r="D100" s="436">
        <f>D113/D87</f>
        <v>4.606105404305179</v>
      </c>
      <c r="E100" s="416"/>
      <c r="F100" s="412" t="s">
        <v>16</v>
      </c>
      <c r="G100" s="435">
        <f>+'[2]Stmts RUS'!$U$75</f>
        <v>5.07461105600305</v>
      </c>
      <c r="H100" s="416">
        <v>0</v>
      </c>
      <c r="I100" s="436">
        <f>I113/I87</f>
        <v>5.07461105600305</v>
      </c>
      <c r="J100" s="416"/>
      <c r="K100" s="412" t="s">
        <v>16</v>
      </c>
      <c r="L100" s="435">
        <f>+'[2]Stmts RUS'!$X$75</f>
        <v>5.441744024222196</v>
      </c>
      <c r="M100" s="416">
        <v>0</v>
      </c>
      <c r="N100" s="436">
        <f>N113/N87</f>
        <v>5.441744024222196</v>
      </c>
      <c r="O100" s="416"/>
      <c r="P100" s="412" t="s">
        <v>16</v>
      </c>
      <c r="Q100" s="435">
        <f>+'[2]Stmts RUS'!$AA$75</f>
        <v>5.696020633384883</v>
      </c>
      <c r="R100" s="416">
        <v>0</v>
      </c>
      <c r="S100" s="436">
        <f>S113/S87</f>
        <v>5.696020633384883</v>
      </c>
      <c r="T100" s="416"/>
      <c r="U100" s="412"/>
      <c r="V100" s="447"/>
      <c r="W100" s="447"/>
      <c r="X100" s="447"/>
    </row>
    <row r="101" spans="1:24" ht="15">
      <c r="A101" s="412" t="s">
        <v>35</v>
      </c>
      <c r="B101" s="435">
        <f>+'[2]Stmts RUS'!$Q$76</f>
        <v>2.7295200822194503</v>
      </c>
      <c r="C101" s="416">
        <v>0</v>
      </c>
      <c r="D101" s="436">
        <f>D114/D87</f>
        <v>2.7295200822194503</v>
      </c>
      <c r="E101" s="416"/>
      <c r="F101" s="412" t="s">
        <v>35</v>
      </c>
      <c r="G101" s="435">
        <f>+'[2]Stmts RUS'!$U$76</f>
        <v>2.717062553691994</v>
      </c>
      <c r="H101" s="416">
        <v>0</v>
      </c>
      <c r="I101" s="436">
        <f>I114/I87</f>
        <v>2.717062553691994</v>
      </c>
      <c r="J101" s="416"/>
      <c r="K101" s="412" t="s">
        <v>35</v>
      </c>
      <c r="L101" s="435">
        <f>+'[2]Stmts RUS'!$X$76</f>
        <v>2.802533201873009</v>
      </c>
      <c r="M101" s="416">
        <v>0</v>
      </c>
      <c r="N101" s="436">
        <f>N114/N87</f>
        <v>2.802533201873009</v>
      </c>
      <c r="O101" s="416"/>
      <c r="P101" s="412" t="s">
        <v>35</v>
      </c>
      <c r="Q101" s="435">
        <f>+'[2]Stmts RUS'!$AA$76</f>
        <v>3.2281112415214306</v>
      </c>
      <c r="R101" s="416">
        <v>0</v>
      </c>
      <c r="S101" s="436">
        <f>S114/S87</f>
        <v>3.2281112415214306</v>
      </c>
      <c r="T101" s="416"/>
      <c r="U101" s="412"/>
      <c r="V101" s="447"/>
      <c r="W101" s="447"/>
      <c r="X101" s="447"/>
    </row>
    <row r="102" spans="1:24" ht="15">
      <c r="A102" s="412" t="s">
        <v>36</v>
      </c>
      <c r="B102" s="435">
        <f>+'[2]Stmts RUS'!$Q$77</f>
        <v>1.8808305296756385</v>
      </c>
      <c r="C102" s="416">
        <v>0</v>
      </c>
      <c r="D102" s="436">
        <f>D115/D85</f>
        <v>1.8808305296756385</v>
      </c>
      <c r="E102" s="416"/>
      <c r="F102" s="412" t="s">
        <v>36</v>
      </c>
      <c r="G102" s="435">
        <f>+'[2]Stmts RUS'!$U$77</f>
        <v>1.929461281795327</v>
      </c>
      <c r="H102" s="416">
        <v>0</v>
      </c>
      <c r="I102" s="436">
        <f>I115/I85</f>
        <v>1.9294612817953267</v>
      </c>
      <c r="J102" s="416"/>
      <c r="K102" s="412" t="s">
        <v>36</v>
      </c>
      <c r="L102" s="435">
        <f>+'[2]Stmts RUS'!$X$77</f>
        <v>1.8588682545248114</v>
      </c>
      <c r="M102" s="416">
        <v>0</v>
      </c>
      <c r="N102" s="436">
        <f>N115/N85</f>
        <v>1.8588682545248114</v>
      </c>
      <c r="O102" s="416"/>
      <c r="P102" s="412" t="s">
        <v>36</v>
      </c>
      <c r="Q102" s="435">
        <f>+'[2]Stmts RUS'!$AA$77</f>
        <v>1.8588682545248114</v>
      </c>
      <c r="R102" s="416">
        <v>0</v>
      </c>
      <c r="S102" s="436">
        <f>S115/S85</f>
        <v>1.8588682545248114</v>
      </c>
      <c r="T102" s="416"/>
      <c r="U102" s="412"/>
      <c r="V102" s="447"/>
      <c r="W102" s="447"/>
      <c r="X102" s="447"/>
    </row>
    <row r="103" spans="1:24" ht="15">
      <c r="A103" s="412" t="s">
        <v>70</v>
      </c>
      <c r="B103" s="435">
        <f>IF(B89=0,0,-B116/B89)</f>
        <v>0</v>
      </c>
      <c r="C103" s="416">
        <v>0</v>
      </c>
      <c r="D103" s="436">
        <f>IF(D89=0,0,-D116/D89)</f>
        <v>0</v>
      </c>
      <c r="E103" s="416"/>
      <c r="F103" s="412" t="s">
        <v>70</v>
      </c>
      <c r="G103" s="435">
        <f>IF(G89=0,0,-G116/G89)</f>
        <v>0</v>
      </c>
      <c r="H103" s="416">
        <v>0</v>
      </c>
      <c r="I103" s="436">
        <f>IF(I89=0,0,-I116/I89)</f>
        <v>0</v>
      </c>
      <c r="J103" s="416"/>
      <c r="K103" s="412" t="s">
        <v>70</v>
      </c>
      <c r="L103" s="435">
        <f>IF(L89=0,0,-L116/L89)</f>
        <v>0</v>
      </c>
      <c r="M103" s="416">
        <v>0</v>
      </c>
      <c r="N103" s="436">
        <f>IF(N89=0,0,-N116/N89)</f>
        <v>0</v>
      </c>
      <c r="O103" s="416"/>
      <c r="P103" s="412" t="s">
        <v>70</v>
      </c>
      <c r="Q103" s="435">
        <f>IF(Q89=0,0,-Q116/Q89)</f>
        <v>0</v>
      </c>
      <c r="R103" s="416">
        <v>0</v>
      </c>
      <c r="S103" s="436">
        <f>IF(S89=0,0,-S116/S89)</f>
        <v>0</v>
      </c>
      <c r="T103" s="416"/>
      <c r="U103" s="412"/>
      <c r="V103" s="447"/>
      <c r="W103" s="447"/>
      <c r="X103" s="447"/>
    </row>
    <row r="104" spans="1:24" ht="15">
      <c r="A104" s="412" t="s">
        <v>80</v>
      </c>
      <c r="B104" s="437">
        <f>+IF(B117=0,0,B117/B90)</f>
        <v>0</v>
      </c>
      <c r="C104" s="438">
        <v>0</v>
      </c>
      <c r="D104" s="439">
        <f>+IF(D117=0,0,D117/D90)</f>
        <v>0</v>
      </c>
      <c r="E104" s="417"/>
      <c r="F104" s="412" t="s">
        <v>80</v>
      </c>
      <c r="G104" s="437">
        <f>+IF(G117=0,0,G117/G90)</f>
        <v>0</v>
      </c>
      <c r="H104" s="438">
        <v>0</v>
      </c>
      <c r="I104" s="439">
        <f>+IF(I117=0,0,I117/I90)</f>
        <v>0</v>
      </c>
      <c r="J104" s="417"/>
      <c r="K104" s="412" t="s">
        <v>80</v>
      </c>
      <c r="L104" s="437">
        <f>+IF(L117=0,0,L117/L90)</f>
        <v>0</v>
      </c>
      <c r="M104" s="438">
        <v>0</v>
      </c>
      <c r="N104" s="439">
        <f>+IF(N117=0,0,N117/N90)</f>
        <v>0</v>
      </c>
      <c r="O104" s="417"/>
      <c r="P104" s="412" t="s">
        <v>80</v>
      </c>
      <c r="Q104" s="437">
        <f>+IF(Q117=0,0,Q117/Q90)</f>
        <v>0</v>
      </c>
      <c r="R104" s="438">
        <v>0</v>
      </c>
      <c r="S104" s="439">
        <f>+IF(S117=0,0,S117/S90)</f>
        <v>0</v>
      </c>
      <c r="T104" s="417"/>
      <c r="U104" s="406"/>
      <c r="V104" s="447"/>
      <c r="W104" s="447"/>
      <c r="X104" s="447"/>
    </row>
    <row r="105" spans="1:24" ht="15">
      <c r="A105" s="412" t="s">
        <v>77</v>
      </c>
      <c r="B105" s="435">
        <f>B119/B92</f>
        <v>11.861067132737633</v>
      </c>
      <c r="C105" s="416">
        <v>0</v>
      </c>
      <c r="D105" s="436">
        <f>D119/D92</f>
        <v>11.861067132737633</v>
      </c>
      <c r="E105" s="416"/>
      <c r="F105" s="412" t="s">
        <v>77</v>
      </c>
      <c r="G105" s="435">
        <f>G119/G92</f>
        <v>12.361299520983271</v>
      </c>
      <c r="H105" s="416">
        <v>0</v>
      </c>
      <c r="I105" s="436">
        <f>I119/I92</f>
        <v>12.361299520983271</v>
      </c>
      <c r="J105" s="416"/>
      <c r="K105" s="412" t="s">
        <v>77</v>
      </c>
      <c r="L105" s="435">
        <f>L119/L92</f>
        <v>12.756364641184506</v>
      </c>
      <c r="M105" s="416">
        <v>0</v>
      </c>
      <c r="N105" s="436">
        <f>N119/N92</f>
        <v>12.756364641184506</v>
      </c>
      <c r="O105" s="416"/>
      <c r="P105" s="412" t="s">
        <v>77</v>
      </c>
      <c r="Q105" s="435">
        <f>Q119/Q92</f>
        <v>13.369329749750456</v>
      </c>
      <c r="R105" s="416">
        <v>0</v>
      </c>
      <c r="S105" s="436">
        <f>S119/S92</f>
        <v>13.369329749750456</v>
      </c>
      <c r="T105" s="416"/>
      <c r="U105" s="418"/>
      <c r="V105" s="447"/>
      <c r="W105" s="447"/>
      <c r="X105" s="447"/>
    </row>
    <row r="106" spans="1:24" ht="15">
      <c r="A106" s="406"/>
      <c r="B106" s="428"/>
      <c r="C106" s="410"/>
      <c r="D106" s="429"/>
      <c r="E106" s="410"/>
      <c r="F106" s="406"/>
      <c r="G106" s="428"/>
      <c r="H106" s="410"/>
      <c r="I106" s="429"/>
      <c r="J106" s="410"/>
      <c r="K106" s="406"/>
      <c r="L106" s="428"/>
      <c r="M106" s="410"/>
      <c r="N106" s="429"/>
      <c r="O106" s="410"/>
      <c r="P106" s="406"/>
      <c r="Q106" s="428"/>
      <c r="R106" s="410"/>
      <c r="S106" s="429"/>
      <c r="T106" s="410"/>
      <c r="U106" s="412"/>
      <c r="V106" s="447"/>
      <c r="W106" s="447"/>
      <c r="X106" s="447"/>
    </row>
    <row r="107" spans="1:24" ht="15">
      <c r="A107" s="418" t="s">
        <v>78</v>
      </c>
      <c r="B107" s="428"/>
      <c r="C107" s="410"/>
      <c r="D107" s="429"/>
      <c r="E107" s="410"/>
      <c r="F107" s="418" t="s">
        <v>78</v>
      </c>
      <c r="G107" s="428"/>
      <c r="H107" s="410"/>
      <c r="I107" s="429"/>
      <c r="J107" s="410"/>
      <c r="K107" s="418" t="s">
        <v>78</v>
      </c>
      <c r="L107" s="428"/>
      <c r="M107" s="410"/>
      <c r="N107" s="429"/>
      <c r="O107" s="410"/>
      <c r="P107" s="418" t="s">
        <v>78</v>
      </c>
      <c r="Q107" s="428"/>
      <c r="R107" s="410"/>
      <c r="S107" s="429"/>
      <c r="T107" s="410"/>
      <c r="U107" s="412"/>
      <c r="V107" s="447"/>
      <c r="W107" s="447"/>
      <c r="X107" s="447"/>
    </row>
    <row r="108" spans="1:24" ht="15.6" thickBot="1">
      <c r="A108" s="412" t="s">
        <v>61</v>
      </c>
      <c r="B108" s="420">
        <f>+B85*B95</f>
        <v>12359059.2</v>
      </c>
      <c r="C108" s="440">
        <f>+C85*C95</f>
        <v>0</v>
      </c>
      <c r="D108" s="422">
        <f>SUM(B108:C108)</f>
        <v>12359059.2</v>
      </c>
      <c r="E108" s="411"/>
      <c r="F108" s="412" t="s">
        <v>61</v>
      </c>
      <c r="G108" s="420">
        <f>+G85*G95</f>
        <v>11535121.920000002</v>
      </c>
      <c r="H108" s="440">
        <f>+H85*H95</f>
        <v>0</v>
      </c>
      <c r="I108" s="422">
        <f>SUM(G108:H108)</f>
        <v>11535121.920000002</v>
      </c>
      <c r="J108" s="411"/>
      <c r="K108" s="412" t="s">
        <v>61</v>
      </c>
      <c r="L108" s="420">
        <f>+L85*L95</f>
        <v>12771027.84</v>
      </c>
      <c r="M108" s="440">
        <f>+M85*M95</f>
        <v>0</v>
      </c>
      <c r="N108" s="422">
        <f>SUM(L108:M108)</f>
        <v>12771027.84</v>
      </c>
      <c r="O108" s="411"/>
      <c r="P108" s="412" t="s">
        <v>61</v>
      </c>
      <c r="Q108" s="420">
        <f>+Q85*Q95</f>
        <v>12771027.84</v>
      </c>
      <c r="R108" s="440">
        <f>+R85*R95</f>
        <v>0</v>
      </c>
      <c r="S108" s="422">
        <f>SUM(Q108:R108)</f>
        <v>12771027.84</v>
      </c>
      <c r="T108" s="411"/>
      <c r="U108" s="412"/>
      <c r="V108" s="447"/>
      <c r="W108" s="447"/>
      <c r="X108" s="447"/>
    </row>
    <row r="109" spans="1:21" ht="16.2">
      <c r="A109" s="376" t="s">
        <v>62</v>
      </c>
      <c r="B109" s="380">
        <v>0</v>
      </c>
      <c r="C109" s="381">
        <v>0</v>
      </c>
      <c r="D109" s="382">
        <f aca="true" t="shared" si="21" ref="D109:D117">SUM(B109:C109)</f>
        <v>0</v>
      </c>
      <c r="E109" s="381"/>
      <c r="F109" s="376" t="s">
        <v>62</v>
      </c>
      <c r="G109" s="380">
        <v>0</v>
      </c>
      <c r="H109" s="381">
        <v>0</v>
      </c>
      <c r="I109" s="382">
        <f aca="true" t="shared" si="22" ref="I109:I117">SUM(G109:H109)</f>
        <v>0</v>
      </c>
      <c r="J109" s="381"/>
      <c r="K109" s="376" t="s">
        <v>62</v>
      </c>
      <c r="L109" s="380">
        <v>0</v>
      </c>
      <c r="M109" s="381">
        <v>0</v>
      </c>
      <c r="N109" s="382">
        <f aca="true" t="shared" si="23" ref="N109:N117">SUM(L109:M109)</f>
        <v>0</v>
      </c>
      <c r="O109" s="381"/>
      <c r="P109" s="376" t="s">
        <v>62</v>
      </c>
      <c r="Q109" s="380">
        <v>0</v>
      </c>
      <c r="R109" s="381">
        <v>0</v>
      </c>
      <c r="S109" s="382">
        <f aca="true" t="shared" si="24" ref="S109:S117">SUM(Q109:R109)</f>
        <v>0</v>
      </c>
      <c r="T109" s="381"/>
      <c r="U109" s="376"/>
    </row>
    <row r="110" spans="1:21" ht="16.2">
      <c r="A110" s="376" t="s">
        <v>65</v>
      </c>
      <c r="B110" s="380">
        <v>0</v>
      </c>
      <c r="C110" s="381">
        <v>0</v>
      </c>
      <c r="D110" s="382">
        <f t="shared" si="21"/>
        <v>0</v>
      </c>
      <c r="E110" s="381"/>
      <c r="F110" s="376" t="s">
        <v>65</v>
      </c>
      <c r="G110" s="380">
        <v>0</v>
      </c>
      <c r="H110" s="381">
        <v>0</v>
      </c>
      <c r="I110" s="382">
        <f t="shared" si="22"/>
        <v>0</v>
      </c>
      <c r="J110" s="381"/>
      <c r="K110" s="376" t="s">
        <v>65</v>
      </c>
      <c r="L110" s="380">
        <v>0</v>
      </c>
      <c r="M110" s="381">
        <v>0</v>
      </c>
      <c r="N110" s="382">
        <f t="shared" si="23"/>
        <v>0</v>
      </c>
      <c r="O110" s="381"/>
      <c r="P110" s="376" t="s">
        <v>65</v>
      </c>
      <c r="Q110" s="380">
        <v>0</v>
      </c>
      <c r="R110" s="381">
        <v>0</v>
      </c>
      <c r="S110" s="382">
        <f t="shared" si="24"/>
        <v>0</v>
      </c>
      <c r="T110" s="381"/>
      <c r="U110" s="376"/>
    </row>
    <row r="111" spans="1:21" ht="16.2">
      <c r="A111" s="376" t="s">
        <v>32</v>
      </c>
      <c r="B111" s="380">
        <f>+B85*B98</f>
        <v>765999360</v>
      </c>
      <c r="C111" s="381">
        <f>+C85*C98</f>
        <v>0</v>
      </c>
      <c r="D111" s="382">
        <f t="shared" si="21"/>
        <v>765999360</v>
      </c>
      <c r="E111" s="381"/>
      <c r="F111" s="376" t="s">
        <v>32</v>
      </c>
      <c r="G111" s="380">
        <f>+G85*G98</f>
        <v>713066983.060534</v>
      </c>
      <c r="H111" s="381">
        <f>+H85*H98</f>
        <v>0</v>
      </c>
      <c r="I111" s="382">
        <f t="shared" si="22"/>
        <v>713066983.060534</v>
      </c>
      <c r="J111" s="381"/>
      <c r="K111" s="376" t="s">
        <v>32</v>
      </c>
      <c r="L111" s="380">
        <f>+L85*L98</f>
        <v>789467016.9598769</v>
      </c>
      <c r="M111" s="381">
        <f>+M85*M98</f>
        <v>0</v>
      </c>
      <c r="N111" s="382">
        <f t="shared" si="23"/>
        <v>789467016.9598769</v>
      </c>
      <c r="O111" s="381"/>
      <c r="P111" s="376" t="s">
        <v>32</v>
      </c>
      <c r="Q111" s="380">
        <f>+Q85*Q98</f>
        <v>789467016.9598769</v>
      </c>
      <c r="R111" s="381">
        <f>+R85*R98</f>
        <v>0</v>
      </c>
      <c r="S111" s="382">
        <f t="shared" si="24"/>
        <v>789467016.9598769</v>
      </c>
      <c r="T111" s="381"/>
      <c r="U111" s="376"/>
    </row>
    <row r="112" spans="1:21" ht="16.2">
      <c r="A112" s="376" t="s">
        <v>34</v>
      </c>
      <c r="B112" s="380">
        <f>+B87*B99</f>
        <v>-91656580.99101506</v>
      </c>
      <c r="C112" s="381">
        <f>+C87*C99</f>
        <v>0</v>
      </c>
      <c r="D112" s="382">
        <f t="shared" si="21"/>
        <v>-91656580.99101506</v>
      </c>
      <c r="E112" s="381"/>
      <c r="F112" s="376" t="s">
        <v>34</v>
      </c>
      <c r="G112" s="380">
        <f>+G87*G99</f>
        <v>-84757995.8097591</v>
      </c>
      <c r="H112" s="381">
        <f>+H87*H99</f>
        <v>0</v>
      </c>
      <c r="I112" s="382">
        <f t="shared" si="22"/>
        <v>-84757995.8097591</v>
      </c>
      <c r="J112" s="381"/>
      <c r="K112" s="376" t="s">
        <v>34</v>
      </c>
      <c r="L112" s="380">
        <f>+L87*L99</f>
        <v>-90336467.99878995</v>
      </c>
      <c r="M112" s="381">
        <f>+M87*M99</f>
        <v>0</v>
      </c>
      <c r="N112" s="382">
        <f t="shared" si="23"/>
        <v>-90336467.99878995</v>
      </c>
      <c r="O112" s="381"/>
      <c r="P112" s="376" t="s">
        <v>34</v>
      </c>
      <c r="Q112" s="380">
        <f>+Q87*Q99</f>
        <v>-108284012.58153598</v>
      </c>
      <c r="R112" s="381">
        <f>+R87*R99</f>
        <v>0</v>
      </c>
      <c r="S112" s="382">
        <f t="shared" si="24"/>
        <v>-108284012.58153598</v>
      </c>
      <c r="T112" s="381"/>
      <c r="U112" s="376"/>
    </row>
    <row r="113" spans="1:21" ht="16.2">
      <c r="A113" s="376" t="s">
        <v>16</v>
      </c>
      <c r="B113" s="380">
        <f>+B87*B100</f>
        <v>1196025014.1662061</v>
      </c>
      <c r="C113" s="381">
        <f>+C87*C100</f>
        <v>0</v>
      </c>
      <c r="D113" s="382">
        <f t="shared" si="21"/>
        <v>1196025014.1662061</v>
      </c>
      <c r="E113" s="381"/>
      <c r="F113" s="376" t="s">
        <v>16</v>
      </c>
      <c r="G113" s="380">
        <f>+G87*G100</f>
        <v>1229832395.3912237</v>
      </c>
      <c r="H113" s="381">
        <f>+H87*H100</f>
        <v>0</v>
      </c>
      <c r="I113" s="382">
        <f t="shared" si="22"/>
        <v>1229832395.3912237</v>
      </c>
      <c r="J113" s="381"/>
      <c r="K113" s="376" t="s">
        <v>16</v>
      </c>
      <c r="L113" s="380">
        <f>+L87*L100</f>
        <v>1460107860.2822464</v>
      </c>
      <c r="M113" s="381">
        <f>+M87*M100</f>
        <v>0</v>
      </c>
      <c r="N113" s="382">
        <f t="shared" si="23"/>
        <v>1460107860.2822464</v>
      </c>
      <c r="O113" s="381"/>
      <c r="P113" s="376" t="s">
        <v>16</v>
      </c>
      <c r="Q113" s="380">
        <f>+Q87*Q100</f>
        <v>1528334383.6305995</v>
      </c>
      <c r="R113" s="381">
        <f>+R87*R100</f>
        <v>0</v>
      </c>
      <c r="S113" s="382">
        <f t="shared" si="24"/>
        <v>1528334383.6305995</v>
      </c>
      <c r="T113" s="381"/>
      <c r="U113" s="376"/>
    </row>
    <row r="114" spans="1:21" ht="16.2">
      <c r="A114" s="376" t="s">
        <v>35</v>
      </c>
      <c r="B114" s="380">
        <f>+B101*B87</f>
        <v>708749368.1651682</v>
      </c>
      <c r="C114" s="381">
        <f>+C87*C101</f>
        <v>0</v>
      </c>
      <c r="D114" s="382">
        <f t="shared" si="21"/>
        <v>708749368.1651682</v>
      </c>
      <c r="E114" s="381"/>
      <c r="F114" s="376" t="s">
        <v>35</v>
      </c>
      <c r="G114" s="380">
        <f>+G101*G87</f>
        <v>658480327.252259</v>
      </c>
      <c r="H114" s="381">
        <f>+H87*H101</f>
        <v>0</v>
      </c>
      <c r="I114" s="382">
        <f t="shared" si="22"/>
        <v>658480327.252259</v>
      </c>
      <c r="J114" s="381"/>
      <c r="K114" s="376" t="s">
        <v>35</v>
      </c>
      <c r="L114" s="380">
        <f>+L101*L87</f>
        <v>751964946.9990705</v>
      </c>
      <c r="M114" s="381">
        <f>+M87*M101</f>
        <v>0</v>
      </c>
      <c r="N114" s="382">
        <f t="shared" si="23"/>
        <v>751964946.9990705</v>
      </c>
      <c r="O114" s="381"/>
      <c r="P114" s="376" t="s">
        <v>35</v>
      </c>
      <c r="Q114" s="380">
        <f>+Q101*Q87</f>
        <v>866154412.3778627</v>
      </c>
      <c r="R114" s="381">
        <f>+R87*R101</f>
        <v>0</v>
      </c>
      <c r="S114" s="382">
        <f t="shared" si="24"/>
        <v>866154412.3778627</v>
      </c>
      <c r="T114" s="381"/>
      <c r="U114" s="376"/>
    </row>
    <row r="115" spans="1:21" ht="16.2">
      <c r="A115" s="376" t="s">
        <v>36</v>
      </c>
      <c r="B115" s="380">
        <f>+B102*B87</f>
        <v>488377959.99999994</v>
      </c>
      <c r="C115" s="381">
        <f>+C102*C87</f>
        <v>0</v>
      </c>
      <c r="D115" s="382">
        <f t="shared" si="21"/>
        <v>488377959.99999994</v>
      </c>
      <c r="E115" s="381"/>
      <c r="F115" s="376" t="s">
        <v>36</v>
      </c>
      <c r="G115" s="380">
        <f>+G102*G87</f>
        <v>467605096</v>
      </c>
      <c r="H115" s="381">
        <f>+H102*H87</f>
        <v>0</v>
      </c>
      <c r="I115" s="382">
        <f t="shared" si="22"/>
        <v>467605096</v>
      </c>
      <c r="J115" s="381"/>
      <c r="K115" s="376" t="s">
        <v>36</v>
      </c>
      <c r="L115" s="380">
        <f>+L102*L87</f>
        <v>498764391.99999994</v>
      </c>
      <c r="M115" s="381">
        <f>+M102*M87</f>
        <v>0</v>
      </c>
      <c r="N115" s="382">
        <f t="shared" si="23"/>
        <v>498764391.99999994</v>
      </c>
      <c r="O115" s="381"/>
      <c r="P115" s="376" t="s">
        <v>36</v>
      </c>
      <c r="Q115" s="380">
        <f>+Q102*Q87</f>
        <v>498764391.99999994</v>
      </c>
      <c r="R115" s="381">
        <f>+R102*R87</f>
        <v>0</v>
      </c>
      <c r="S115" s="382">
        <f t="shared" si="24"/>
        <v>498764391.99999994</v>
      </c>
      <c r="T115" s="381"/>
      <c r="U115" s="376"/>
    </row>
    <row r="116" spans="1:21" ht="16.2">
      <c r="A116" s="376" t="s">
        <v>70</v>
      </c>
      <c r="B116" s="380">
        <v>0</v>
      </c>
      <c r="C116" s="381">
        <v>0</v>
      </c>
      <c r="D116" s="382">
        <f t="shared" si="21"/>
        <v>0</v>
      </c>
      <c r="E116" s="381"/>
      <c r="F116" s="376" t="s">
        <v>70</v>
      </c>
      <c r="G116" s="380">
        <v>0</v>
      </c>
      <c r="H116" s="381">
        <v>0</v>
      </c>
      <c r="I116" s="382">
        <f t="shared" si="22"/>
        <v>0</v>
      </c>
      <c r="J116" s="381"/>
      <c r="K116" s="376" t="s">
        <v>70</v>
      </c>
      <c r="L116" s="380">
        <v>0</v>
      </c>
      <c r="M116" s="381">
        <v>0</v>
      </c>
      <c r="N116" s="382">
        <f t="shared" si="23"/>
        <v>0</v>
      </c>
      <c r="O116" s="381"/>
      <c r="P116" s="376" t="s">
        <v>70</v>
      </c>
      <c r="Q116" s="380">
        <v>0</v>
      </c>
      <c r="R116" s="381">
        <v>0</v>
      </c>
      <c r="S116" s="382">
        <f t="shared" si="24"/>
        <v>0</v>
      </c>
      <c r="T116" s="381"/>
      <c r="U116" s="446"/>
    </row>
    <row r="117" spans="1:21" ht="16.2">
      <c r="A117" s="376" t="s">
        <v>80</v>
      </c>
      <c r="B117" s="380">
        <v>0</v>
      </c>
      <c r="C117" s="381">
        <v>0</v>
      </c>
      <c r="D117" s="382">
        <f t="shared" si="21"/>
        <v>0</v>
      </c>
      <c r="E117" s="381"/>
      <c r="F117" s="376" t="s">
        <v>80</v>
      </c>
      <c r="G117" s="380">
        <v>0</v>
      </c>
      <c r="H117" s="381">
        <v>0</v>
      </c>
      <c r="I117" s="382">
        <f t="shared" si="22"/>
        <v>0</v>
      </c>
      <c r="J117" s="381"/>
      <c r="K117" s="376" t="s">
        <v>80</v>
      </c>
      <c r="L117" s="380">
        <v>0</v>
      </c>
      <c r="M117" s="381">
        <v>0</v>
      </c>
      <c r="N117" s="382">
        <f t="shared" si="23"/>
        <v>0</v>
      </c>
      <c r="O117" s="381"/>
      <c r="P117" s="376" t="s">
        <v>80</v>
      </c>
      <c r="Q117" s="380">
        <v>0</v>
      </c>
      <c r="R117" s="381">
        <v>0</v>
      </c>
      <c r="S117" s="382">
        <f t="shared" si="24"/>
        <v>0</v>
      </c>
      <c r="T117" s="381"/>
      <c r="U117" s="376"/>
    </row>
    <row r="118" spans="1:20" ht="16.2">
      <c r="A118" s="446" t="s">
        <v>81</v>
      </c>
      <c r="B118" s="443">
        <v>0</v>
      </c>
      <c r="C118" s="444">
        <v>0</v>
      </c>
      <c r="D118" s="445">
        <f aca="true" t="shared" si="25" ref="D118">SUM(B118:C118)</f>
        <v>0</v>
      </c>
      <c r="E118" s="381"/>
      <c r="F118" s="446" t="s">
        <v>81</v>
      </c>
      <c r="G118" s="443">
        <v>0</v>
      </c>
      <c r="H118" s="444">
        <v>0</v>
      </c>
      <c r="I118" s="445">
        <f aca="true" t="shared" si="26" ref="I118">SUM(G118:H118)</f>
        <v>0</v>
      </c>
      <c r="J118" s="381"/>
      <c r="K118" s="446" t="s">
        <v>81</v>
      </c>
      <c r="L118" s="443">
        <v>0</v>
      </c>
      <c r="M118" s="444">
        <v>0</v>
      </c>
      <c r="N118" s="445">
        <f aca="true" t="shared" si="27" ref="N118">SUM(L118:M118)</f>
        <v>0</v>
      </c>
      <c r="O118" s="381"/>
      <c r="P118" s="446" t="s">
        <v>81</v>
      </c>
      <c r="Q118" s="443">
        <v>0</v>
      </c>
      <c r="R118" s="444">
        <v>0</v>
      </c>
      <c r="S118" s="445">
        <f aca="true" t="shared" si="28" ref="S118">SUM(Q118:R118)</f>
        <v>0</v>
      </c>
      <c r="T118" s="381"/>
    </row>
    <row r="119" spans="1:20" ht="16.8" thickBot="1">
      <c r="A119" s="376" t="s">
        <v>79</v>
      </c>
      <c r="B119" s="387">
        <f>SUM(B108:B118)</f>
        <v>3079854180.5403595</v>
      </c>
      <c r="C119" s="388">
        <f>SUM(C108:C118)</f>
        <v>0</v>
      </c>
      <c r="D119" s="389">
        <f>SUM(D108:D118)</f>
        <v>3079854180.5403595</v>
      </c>
      <c r="E119" s="381"/>
      <c r="F119" s="376" t="s">
        <v>79</v>
      </c>
      <c r="G119" s="387">
        <f>SUM(G108:G118)</f>
        <v>2995761927.8142576</v>
      </c>
      <c r="H119" s="388">
        <f>SUM(H108:H118)</f>
        <v>0</v>
      </c>
      <c r="I119" s="389">
        <f>SUM(I108:I118)</f>
        <v>2995761927.8142576</v>
      </c>
      <c r="J119" s="381"/>
      <c r="K119" s="376" t="s">
        <v>79</v>
      </c>
      <c r="L119" s="387">
        <f>SUM(L108:L118)</f>
        <v>3422738776.082404</v>
      </c>
      <c r="M119" s="388">
        <f>SUM(M108:M118)</f>
        <v>0</v>
      </c>
      <c r="N119" s="389">
        <f>SUM(N108:N118)</f>
        <v>3422738776.082404</v>
      </c>
      <c r="O119" s="381"/>
      <c r="P119" s="376" t="s">
        <v>79</v>
      </c>
      <c r="Q119" s="387">
        <f>SUM(Q108:Q118)</f>
        <v>3587207220.226803</v>
      </c>
      <c r="R119" s="388">
        <f>SUM(R108:R118)</f>
        <v>0</v>
      </c>
      <c r="S119" s="389">
        <f>SUM(S108:S118)</f>
        <v>3587207220.226803</v>
      </c>
      <c r="T119" s="381"/>
    </row>
  </sheetData>
  <mergeCells count="13">
    <mergeCell ref="B2:D2"/>
    <mergeCell ref="Q82:S82"/>
    <mergeCell ref="B42:D42"/>
    <mergeCell ref="B82:D82"/>
    <mergeCell ref="G2:I2"/>
    <mergeCell ref="G42:I42"/>
    <mergeCell ref="G82:I82"/>
    <mergeCell ref="V2:X2"/>
    <mergeCell ref="L2:N2"/>
    <mergeCell ref="L42:N42"/>
    <mergeCell ref="L82:N82"/>
    <mergeCell ref="Q2:S2"/>
    <mergeCell ref="Q42:S42"/>
  </mergeCells>
  <printOptions/>
  <pageMargins left="0.75" right="0.75" top="1.6796875" bottom="1.1067708333333333" header="0.5" footer="0.5"/>
  <pageSetup horizontalDpi="600" verticalDpi="600" orientation="portrait" scale="85" r:id="rId1"/>
  <headerFooter alignWithMargins="0">
    <oddHeader>&amp;C&amp;"Century Schoolbook,Bold"&amp;12Big Rivers Electric Corporation
Case No. 2012-00535
Attachment to Response for PSC 2-7 (a)
Supporting calculation for Smelter base fixed energy</oddHeader>
    <oddFooter>&amp;R&amp;"Century Schoolbook,Bold"&amp;12Case No. 2012-00535
Attachment to Response for PSC 2-7 (b)
Witness: John Wolfram 
Page &amp;P of  &amp;N</oddFooter>
  </headerFooter>
  <colBreaks count="4" manualBreakCount="4">
    <brk id="5" max="16383" man="1"/>
    <brk id="9" max="16383" man="1"/>
    <brk id="15" max="16383" man="1"/>
    <brk id="1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6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54.421875" style="98" customWidth="1"/>
    <col min="2" max="2" width="27.8515625" style="98" customWidth="1"/>
    <col min="3" max="3" width="28.140625" style="98" customWidth="1"/>
    <col min="4" max="4" width="27.8515625" style="98" customWidth="1"/>
    <col min="5" max="5" width="24.8515625" style="98" customWidth="1"/>
    <col min="6" max="6" width="29.421875" style="98" customWidth="1"/>
    <col min="7" max="7" width="23.8515625" style="98" customWidth="1"/>
    <col min="8" max="8" width="3.42187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1.140625" style="98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32.25" customHeight="1">
      <c r="A1" s="101" t="s">
        <v>22</v>
      </c>
      <c r="C1" s="461" t="s">
        <v>20</v>
      </c>
      <c r="D1" s="456" t="s">
        <v>10</v>
      </c>
      <c r="E1" s="456" t="s">
        <v>8</v>
      </c>
      <c r="F1" s="456" t="s">
        <v>7</v>
      </c>
      <c r="G1" s="456" t="s">
        <v>9</v>
      </c>
      <c r="H1" s="102"/>
      <c r="I1" s="103">
        <v>0.00264</v>
      </c>
      <c r="J1" s="104"/>
      <c r="K1" s="105"/>
      <c r="L1" s="103">
        <v>0.002224</v>
      </c>
      <c r="M1" s="106"/>
      <c r="N1" s="106"/>
      <c r="O1" s="107">
        <v>-0.000423</v>
      </c>
      <c r="P1" s="108"/>
      <c r="Q1" s="108"/>
      <c r="R1" s="102"/>
      <c r="S1" s="102"/>
      <c r="T1" s="456" t="s">
        <v>13</v>
      </c>
      <c r="AB1" s="102"/>
    </row>
    <row r="2" spans="2:28" ht="36.75" customHeight="1">
      <c r="B2" s="109"/>
      <c r="C2" s="462"/>
      <c r="D2" s="464"/>
      <c r="E2" s="464"/>
      <c r="F2" s="457"/>
      <c r="G2" s="464"/>
      <c r="H2" s="102"/>
      <c r="I2" s="459" t="s">
        <v>16</v>
      </c>
      <c r="J2" s="460"/>
      <c r="K2" s="110"/>
      <c r="L2" s="459" t="s">
        <v>17</v>
      </c>
      <c r="M2" s="460"/>
      <c r="N2" s="110"/>
      <c r="O2" s="459" t="s">
        <v>18</v>
      </c>
      <c r="P2" s="460"/>
      <c r="Q2" s="110"/>
      <c r="R2" s="111"/>
      <c r="S2" s="102"/>
      <c r="T2" s="457"/>
      <c r="AB2" s="102"/>
    </row>
    <row r="3" spans="1:28" s="121" customFormat="1" ht="44.25" customHeight="1">
      <c r="A3" s="201" t="s">
        <v>0</v>
      </c>
      <c r="B3" s="113"/>
      <c r="C3" s="463"/>
      <c r="D3" s="465"/>
      <c r="E3" s="465"/>
      <c r="F3" s="458"/>
      <c r="G3" s="465"/>
      <c r="H3" s="114"/>
      <c r="I3" s="115" t="s">
        <v>14</v>
      </c>
      <c r="J3" s="116" t="s">
        <v>15</v>
      </c>
      <c r="K3" s="114"/>
      <c r="L3" s="115" t="s">
        <v>14</v>
      </c>
      <c r="M3" s="116" t="s">
        <v>15</v>
      </c>
      <c r="N3" s="114"/>
      <c r="O3" s="115" t="s">
        <v>14</v>
      </c>
      <c r="P3" s="116" t="s">
        <v>15</v>
      </c>
      <c r="Q3" s="114"/>
      <c r="R3" s="117" t="s">
        <v>12</v>
      </c>
      <c r="S3" s="118"/>
      <c r="T3" s="45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123">
        <v>346750429</v>
      </c>
      <c r="C4" s="124">
        <v>32000</v>
      </c>
      <c r="D4" s="125">
        <v>2735984</v>
      </c>
      <c r="E4" s="125">
        <v>0</v>
      </c>
      <c r="F4" s="125">
        <f>SUM(B4:E4)</f>
        <v>349518413</v>
      </c>
      <c r="G4" s="126">
        <f>T26/F4*1000</f>
        <v>48.16693067898543</v>
      </c>
      <c r="H4" s="127"/>
      <c r="I4" s="128">
        <f>ROUND($B4*$I$1,2)</f>
        <v>915421.13</v>
      </c>
      <c r="J4" s="126">
        <f>I4/B4*1000</f>
        <v>2.6399999926171684</v>
      </c>
      <c r="K4" s="129"/>
      <c r="L4" s="130">
        <f>ROUND(+$B4*L$1,2)</f>
        <v>771172.95</v>
      </c>
      <c r="M4" s="126">
        <f>L4/B4*1000</f>
        <v>2.2239999881874692</v>
      </c>
      <c r="N4" s="129"/>
      <c r="O4" s="131">
        <f>ROUND(+$B4*O1,2)</f>
        <v>-146675.43</v>
      </c>
      <c r="P4" s="132">
        <f>O4/B4*1000</f>
        <v>-0.4229999957692914</v>
      </c>
      <c r="Q4" s="133"/>
      <c r="R4" s="130">
        <v>639667.04</v>
      </c>
      <c r="S4" s="130"/>
      <c r="T4" s="134">
        <f>I4+L4+R4+O4</f>
        <v>2179585.69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135">
        <v>260488611</v>
      </c>
      <c r="C5" s="136">
        <v>0</v>
      </c>
      <c r="D5" s="137">
        <f>399990+1</f>
        <v>399991</v>
      </c>
      <c r="E5" s="137">
        <v>0</v>
      </c>
      <c r="F5" s="137">
        <f>SUM(B5:E5)</f>
        <v>260888602</v>
      </c>
      <c r="G5" s="126">
        <f>T27/F5*1000</f>
        <v>48.61680227793164</v>
      </c>
      <c r="H5" s="127"/>
      <c r="I5" s="128">
        <f>ROUND($B5*$I$1,2)</f>
        <v>687689.93</v>
      </c>
      <c r="J5" s="126">
        <f>I5/B5*1000</f>
        <v>2.6399999883296243</v>
      </c>
      <c r="K5" s="129"/>
      <c r="L5" s="130">
        <f>ROUND(+$B5*L$1,2)</f>
        <v>579326.67</v>
      </c>
      <c r="M5" s="126">
        <f>L5/B5*1000</f>
        <v>2.2239999966831565</v>
      </c>
      <c r="N5" s="129"/>
      <c r="O5" s="131">
        <f>ROUND(+$B5*O1,2)</f>
        <v>-110186.68</v>
      </c>
      <c r="P5" s="132">
        <f>O5/B5*1000</f>
        <v>-0.4229999905830816</v>
      </c>
      <c r="Q5" s="133"/>
      <c r="R5" s="138">
        <v>488377.96</v>
      </c>
      <c r="S5" s="130"/>
      <c r="T5" s="134">
        <f>I5+L5+R5+O5</f>
        <v>1645207.8800000001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139">
        <f>SUM(B4:B5)</f>
        <v>607239040</v>
      </c>
      <c r="C6" s="139">
        <f>SUM(C4:C5)</f>
        <v>32000</v>
      </c>
      <c r="D6" s="140">
        <f>SUM(D4:D5)</f>
        <v>3135975</v>
      </c>
      <c r="E6" s="140">
        <f>SUM(E4:E5)</f>
        <v>0</v>
      </c>
      <c r="F6" s="140">
        <f>SUM(F4:F5)</f>
        <v>610407015</v>
      </c>
      <c r="G6" s="98"/>
      <c r="H6" s="99"/>
      <c r="I6" s="141">
        <f>SUM(I4:I5)</f>
        <v>1603111.06</v>
      </c>
      <c r="J6" s="130"/>
      <c r="K6" s="130"/>
      <c r="L6" s="141">
        <f>SUM(L4:L5)</f>
        <v>1350499.62</v>
      </c>
      <c r="M6" s="130"/>
      <c r="N6" s="130"/>
      <c r="O6" s="142">
        <f>+O4+O5</f>
        <v>-256862.11</v>
      </c>
      <c r="P6" s="130"/>
      <c r="Q6" s="130"/>
      <c r="R6" s="141">
        <f>+R4+R5</f>
        <v>1128045</v>
      </c>
      <c r="S6" s="130"/>
      <c r="T6" s="143">
        <f>SUM(T4:T5)</f>
        <v>3824793.5700000003</v>
      </c>
      <c r="U6" s="144"/>
      <c r="V6" s="98"/>
      <c r="W6" s="98"/>
      <c r="X6" s="98"/>
      <c r="AB6" s="145"/>
    </row>
    <row r="7" spans="1:28" s="121" customFormat="1" ht="21" thickTop="1">
      <c r="A7" s="204"/>
      <c r="B7" s="146"/>
      <c r="C7" s="147"/>
      <c r="D7" s="148"/>
      <c r="E7" s="148"/>
      <c r="F7" s="148"/>
      <c r="G7" s="149"/>
      <c r="H7" s="150"/>
      <c r="I7" s="99"/>
      <c r="J7" s="99"/>
      <c r="K7" s="99"/>
      <c r="L7" s="105"/>
      <c r="M7" s="151"/>
      <c r="N7" s="151"/>
      <c r="O7" s="127"/>
      <c r="P7" s="127"/>
      <c r="Q7" s="127"/>
      <c r="R7" s="151"/>
      <c r="S7" s="151"/>
      <c r="T7" s="152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154"/>
      <c r="C8" s="155"/>
      <c r="D8" s="153"/>
      <c r="E8" s="153"/>
      <c r="F8" s="156"/>
      <c r="G8" s="156"/>
      <c r="H8" s="157"/>
      <c r="I8" s="99"/>
      <c r="J8" s="151"/>
      <c r="K8" s="151"/>
      <c r="L8" s="151"/>
      <c r="M8" s="151"/>
      <c r="N8" s="151"/>
      <c r="O8" s="151"/>
      <c r="P8" s="151"/>
      <c r="Q8" s="151"/>
      <c r="R8" s="99"/>
      <c r="S8" s="99"/>
      <c r="T8" s="152"/>
      <c r="U8" s="144"/>
      <c r="V8" s="98"/>
      <c r="W8" s="98"/>
      <c r="X8" s="98"/>
      <c r="AB8" s="104"/>
    </row>
    <row r="9" spans="1:28" ht="18" customHeight="1">
      <c r="A9" s="202" t="s">
        <v>28</v>
      </c>
      <c r="B9" s="123">
        <v>340099200</v>
      </c>
      <c r="C9" s="158"/>
      <c r="D9" s="153"/>
      <c r="E9" s="153"/>
      <c r="F9" s="159"/>
      <c r="G9" s="159"/>
      <c r="H9" s="160"/>
      <c r="I9" s="99"/>
      <c r="J9" s="161"/>
      <c r="K9" s="161"/>
      <c r="L9" s="151"/>
      <c r="M9" s="151"/>
      <c r="N9" s="151"/>
      <c r="O9" s="162">
        <v>0.039392</v>
      </c>
      <c r="P9" s="151"/>
      <c r="Q9" s="151"/>
      <c r="R9" s="163"/>
      <c r="S9" s="163"/>
      <c r="T9" s="164">
        <f>ROUND(B9*$O$9,2)</f>
        <v>13397187.69</v>
      </c>
      <c r="AB9" s="104"/>
    </row>
    <row r="10" spans="1:28" ht="21">
      <c r="A10" s="202" t="s">
        <v>29</v>
      </c>
      <c r="B10" s="123">
        <v>259660800</v>
      </c>
      <c r="C10" s="158"/>
      <c r="D10" s="153"/>
      <c r="E10" s="153"/>
      <c r="F10" s="159"/>
      <c r="G10" s="159"/>
      <c r="H10" s="160"/>
      <c r="I10" s="99"/>
      <c r="J10" s="161"/>
      <c r="K10" s="161"/>
      <c r="L10" s="151"/>
      <c r="M10" s="151"/>
      <c r="N10" s="151"/>
      <c r="O10" s="162"/>
      <c r="P10" s="151"/>
      <c r="Q10" s="151"/>
      <c r="R10" s="165"/>
      <c r="S10" s="166"/>
      <c r="T10" s="164">
        <f>ROUND(B10*$O$9,2)</f>
        <v>10228558.23</v>
      </c>
      <c r="AB10" s="104"/>
    </row>
    <row r="11" spans="1:28" ht="21.6" thickBot="1">
      <c r="A11" s="203"/>
      <c r="B11" s="139">
        <f>SUM(B9:B10)</f>
        <v>599760000</v>
      </c>
      <c r="C11" s="130"/>
      <c r="D11" s="153"/>
      <c r="E11" s="153"/>
      <c r="F11" s="159"/>
      <c r="G11" s="159"/>
      <c r="H11" s="160"/>
      <c r="I11" s="153"/>
      <c r="J11" s="161"/>
      <c r="K11" s="161"/>
      <c r="L11" s="104"/>
      <c r="M11" s="104"/>
      <c r="N11" s="151"/>
      <c r="O11" s="167"/>
      <c r="P11" s="104"/>
      <c r="Q11" s="151"/>
      <c r="R11" s="165"/>
      <c r="S11" s="166"/>
      <c r="T11" s="164"/>
      <c r="AB11" s="104"/>
    </row>
    <row r="12" spans="1:28" ht="21.6" thickTop="1">
      <c r="A12" s="203"/>
      <c r="B12" s="168"/>
      <c r="C12" s="126"/>
      <c r="D12" s="153"/>
      <c r="E12" s="153"/>
      <c r="F12" s="153"/>
      <c r="G12" s="153"/>
      <c r="H12" s="161"/>
      <c r="I12" s="153"/>
      <c r="J12" s="153"/>
      <c r="K12" s="161"/>
      <c r="L12" s="153"/>
      <c r="M12" s="153"/>
      <c r="N12" s="161"/>
      <c r="O12" s="169"/>
      <c r="P12" s="153"/>
      <c r="Q12" s="161"/>
      <c r="R12" s="165"/>
      <c r="S12" s="166"/>
      <c r="T12" s="164"/>
      <c r="AB12" s="153"/>
    </row>
    <row r="13" spans="1:28" ht="21">
      <c r="A13" s="204"/>
      <c r="B13" s="170"/>
      <c r="C13" s="171"/>
      <c r="D13" s="172"/>
      <c r="E13" s="172"/>
      <c r="F13" s="172"/>
      <c r="G13" s="172"/>
      <c r="H13" s="173"/>
      <c r="I13" s="172"/>
      <c r="J13" s="153"/>
      <c r="K13" s="161"/>
      <c r="L13" s="172"/>
      <c r="M13" s="172"/>
      <c r="N13" s="173"/>
      <c r="O13" s="174"/>
      <c r="P13" s="172"/>
      <c r="Q13" s="173"/>
      <c r="T13" s="164"/>
      <c r="AB13" s="172"/>
    </row>
    <row r="14" spans="1:28" ht="21">
      <c r="A14" s="204"/>
      <c r="B14" s="175"/>
      <c r="C14" s="176"/>
      <c r="D14" s="144"/>
      <c r="E14" s="144"/>
      <c r="F14" s="144"/>
      <c r="G14" s="144"/>
      <c r="H14" s="177"/>
      <c r="I14" s="144"/>
      <c r="J14" s="172"/>
      <c r="K14" s="173"/>
      <c r="L14" s="144"/>
      <c r="M14" s="144"/>
      <c r="N14" s="177"/>
      <c r="O14" s="178"/>
      <c r="P14" s="144"/>
      <c r="Q14" s="177"/>
      <c r="R14" s="144"/>
      <c r="S14" s="177"/>
      <c r="T14" s="179"/>
      <c r="U14" s="144"/>
      <c r="AB14" s="144"/>
    </row>
    <row r="15" spans="1:28" ht="21">
      <c r="A15" s="205" t="s">
        <v>2</v>
      </c>
      <c r="B15" s="180"/>
      <c r="C15" s="181"/>
      <c r="D15" s="144"/>
      <c r="E15" s="144"/>
      <c r="F15" s="144"/>
      <c r="G15" s="144"/>
      <c r="H15" s="177"/>
      <c r="I15" s="144"/>
      <c r="J15" s="144"/>
      <c r="K15" s="177"/>
      <c r="L15" s="144"/>
      <c r="M15" s="144"/>
      <c r="N15" s="177"/>
      <c r="O15" s="178"/>
      <c r="P15" s="144"/>
      <c r="Q15" s="177"/>
      <c r="R15" s="144"/>
      <c r="S15" s="177"/>
      <c r="T15" s="182"/>
      <c r="U15" s="144"/>
      <c r="AB15" s="144"/>
    </row>
    <row r="16" spans="1:28" ht="21">
      <c r="A16" s="202" t="s">
        <v>28</v>
      </c>
      <c r="B16" s="123">
        <f>B4-B9</f>
        <v>6651229</v>
      </c>
      <c r="C16" s="183"/>
      <c r="D16" s="144"/>
      <c r="E16" s="144"/>
      <c r="F16" s="144"/>
      <c r="G16" s="144"/>
      <c r="H16" s="177"/>
      <c r="I16" s="144"/>
      <c r="J16" s="144"/>
      <c r="K16" s="177"/>
      <c r="L16" s="144"/>
      <c r="M16" s="144"/>
      <c r="N16" s="177"/>
      <c r="O16" s="178">
        <v>0.021806</v>
      </c>
      <c r="P16" s="144"/>
      <c r="Q16" s="177"/>
      <c r="R16" s="144"/>
      <c r="S16" s="177"/>
      <c r="T16" s="184">
        <f>ROUND(B16*$O$16,2)</f>
        <v>145036.7</v>
      </c>
      <c r="U16" s="144"/>
      <c r="AB16" s="144"/>
    </row>
    <row r="17" spans="1:28" ht="21">
      <c r="A17" s="202" t="s">
        <v>29</v>
      </c>
      <c r="B17" s="123">
        <f>B5-B10</f>
        <v>827811</v>
      </c>
      <c r="C17" s="183"/>
      <c r="D17" s="144"/>
      <c r="E17" s="144"/>
      <c r="F17" s="144"/>
      <c r="G17" s="144"/>
      <c r="H17" s="177"/>
      <c r="I17" s="144"/>
      <c r="J17" s="144"/>
      <c r="K17" s="177"/>
      <c r="L17" s="144"/>
      <c r="M17" s="144"/>
      <c r="N17" s="177"/>
      <c r="O17" s="178"/>
      <c r="P17" s="144"/>
      <c r="Q17" s="177"/>
      <c r="R17" s="144"/>
      <c r="S17" s="177"/>
      <c r="T17" s="184">
        <f>ROUND(B17*$O$16,2)</f>
        <v>18051.25</v>
      </c>
      <c r="U17" s="144"/>
      <c r="AB17" s="144"/>
    </row>
    <row r="18" spans="1:28" ht="21.6" thickBot="1">
      <c r="A18" s="203"/>
      <c r="B18" s="139">
        <f>SUM(B16:B17)</f>
        <v>7479040</v>
      </c>
      <c r="C18" s="131"/>
      <c r="D18" s="144"/>
      <c r="E18" s="144"/>
      <c r="F18" s="144"/>
      <c r="G18" s="144"/>
      <c r="H18" s="177"/>
      <c r="I18" s="144"/>
      <c r="J18" s="144"/>
      <c r="K18" s="177"/>
      <c r="L18" s="144"/>
      <c r="M18" s="144"/>
      <c r="N18" s="177"/>
      <c r="O18" s="178"/>
      <c r="P18" s="144"/>
      <c r="Q18" s="177"/>
      <c r="R18" s="144"/>
      <c r="S18" s="177"/>
      <c r="T18" s="182"/>
      <c r="U18" s="144"/>
      <c r="AB18" s="144"/>
    </row>
    <row r="19" spans="1:28" ht="21.6" thickTop="1">
      <c r="A19" s="204"/>
      <c r="B19" s="185"/>
      <c r="C19" s="185"/>
      <c r="D19" s="144"/>
      <c r="E19" s="144"/>
      <c r="F19" s="144"/>
      <c r="G19" s="144"/>
      <c r="H19" s="177"/>
      <c r="I19" s="144"/>
      <c r="J19" s="144"/>
      <c r="K19" s="177"/>
      <c r="L19" s="144"/>
      <c r="M19" s="144"/>
      <c r="N19" s="177"/>
      <c r="O19" s="144"/>
      <c r="P19" s="144"/>
      <c r="Q19" s="177"/>
      <c r="R19" s="144"/>
      <c r="S19" s="177"/>
      <c r="T19" s="182"/>
      <c r="U19" s="144"/>
      <c r="AB19" s="144"/>
    </row>
    <row r="20" spans="1:28" ht="21">
      <c r="A20" s="204"/>
      <c r="B20" s="144"/>
      <c r="C20" s="144"/>
      <c r="D20" s="144"/>
      <c r="E20" s="144"/>
      <c r="F20" s="144"/>
      <c r="G20" s="144"/>
      <c r="H20" s="177"/>
      <c r="I20" s="144"/>
      <c r="J20" s="144"/>
      <c r="K20" s="177"/>
      <c r="L20" s="144"/>
      <c r="M20" s="144"/>
      <c r="N20" s="177"/>
      <c r="O20" s="144"/>
      <c r="P20" s="144"/>
      <c r="Q20" s="177"/>
      <c r="T20" s="184"/>
      <c r="U20" s="144"/>
      <c r="AB20" s="144"/>
    </row>
    <row r="21" spans="1:28" s="112" customFormat="1" ht="14.25" customHeight="1">
      <c r="A21" s="201"/>
      <c r="B21" s="119"/>
      <c r="C21" s="207"/>
      <c r="D21" s="207"/>
      <c r="E21" s="207"/>
      <c r="F21" s="207"/>
      <c r="G21" s="153"/>
      <c r="H21" s="161"/>
      <c r="I21" s="119"/>
      <c r="J21" s="144"/>
      <c r="K21" s="177"/>
      <c r="L21" s="119"/>
      <c r="M21" s="119"/>
      <c r="N21" s="186"/>
      <c r="O21" s="119"/>
      <c r="P21" s="119"/>
      <c r="Q21" s="186"/>
      <c r="S21" s="102"/>
      <c r="T21" s="184"/>
      <c r="U21" s="119"/>
      <c r="AB21" s="119"/>
    </row>
    <row r="22" spans="1:28" s="112" customFormat="1" ht="34.5" customHeight="1">
      <c r="A22" s="201"/>
      <c r="B22" s="119"/>
      <c r="C22" s="207" t="s">
        <v>3</v>
      </c>
      <c r="D22" s="208" t="s">
        <v>4</v>
      </c>
      <c r="E22" s="208" t="s">
        <v>6</v>
      </c>
      <c r="F22" s="241" t="s">
        <v>19</v>
      </c>
      <c r="H22" s="161"/>
      <c r="I22" s="119"/>
      <c r="J22" s="119"/>
      <c r="K22" s="186"/>
      <c r="L22" s="119"/>
      <c r="M22" s="119"/>
      <c r="N22" s="186"/>
      <c r="O22" s="119"/>
      <c r="P22" s="119"/>
      <c r="Q22" s="186"/>
      <c r="S22" s="102"/>
      <c r="T22" s="184"/>
      <c r="U22" s="119"/>
      <c r="AB22" s="119"/>
    </row>
    <row r="23" spans="1:28" s="112" customFormat="1" ht="23.25" customHeight="1">
      <c r="A23" s="202" t="s">
        <v>28</v>
      </c>
      <c r="B23" s="188"/>
      <c r="C23" s="179">
        <v>1020014.18</v>
      </c>
      <c r="D23" s="182">
        <v>0</v>
      </c>
      <c r="E23" s="179">
        <v>92319.11</v>
      </c>
      <c r="F23" s="182">
        <v>1085.8</v>
      </c>
      <c r="H23" s="189"/>
      <c r="I23" s="188"/>
      <c r="J23" s="119"/>
      <c r="K23" s="186"/>
      <c r="L23" s="188"/>
      <c r="M23" s="188"/>
      <c r="N23" s="190"/>
      <c r="O23" s="188"/>
      <c r="P23" s="188"/>
      <c r="Q23" s="190"/>
      <c r="S23" s="102"/>
      <c r="T23" s="184">
        <f>C23+D23+E23+F23</f>
        <v>1113419.09</v>
      </c>
      <c r="U23" s="119"/>
      <c r="AB23" s="119"/>
    </row>
    <row r="24" spans="1:28" s="112" customFormat="1" ht="21">
      <c r="A24" s="202" t="s">
        <v>29</v>
      </c>
      <c r="B24" s="188"/>
      <c r="C24" s="179">
        <v>778766.02</v>
      </c>
      <c r="D24" s="182">
        <v>0</v>
      </c>
      <c r="E24" s="179">
        <v>12986.2</v>
      </c>
      <c r="F24" s="182">
        <v>0</v>
      </c>
      <c r="H24" s="189"/>
      <c r="I24" s="188"/>
      <c r="J24" s="188"/>
      <c r="K24" s="190"/>
      <c r="L24" s="188"/>
      <c r="M24" s="188"/>
      <c r="N24" s="190"/>
      <c r="O24" s="188"/>
      <c r="P24" s="188"/>
      <c r="Q24" s="190"/>
      <c r="S24" s="102"/>
      <c r="T24" s="184">
        <f>C24+D24+E24+F24</f>
        <v>791752.22</v>
      </c>
      <c r="U24" s="119"/>
      <c r="AB24" s="119"/>
    </row>
    <row r="25" spans="1:28" s="112" customFormat="1" ht="21.6" thickBot="1">
      <c r="A25" s="201"/>
      <c r="B25" s="188"/>
      <c r="C25" s="191">
        <f>SUM(C23:C24)</f>
        <v>1798780.2000000002</v>
      </c>
      <c r="D25" s="192">
        <f>SUM(D23:D24)</f>
        <v>0</v>
      </c>
      <c r="E25" s="191">
        <f>SUM(E23:E24)</f>
        <v>105305.31</v>
      </c>
      <c r="F25" s="192">
        <f>SUM(F23:F24)</f>
        <v>1085.8</v>
      </c>
      <c r="H25" s="189"/>
      <c r="I25" s="188"/>
      <c r="J25" s="188"/>
      <c r="K25" s="190"/>
      <c r="L25" s="188"/>
      <c r="M25" s="188"/>
      <c r="N25" s="190"/>
      <c r="O25" s="188"/>
      <c r="P25" s="188"/>
      <c r="Q25" s="190"/>
      <c r="S25" s="102"/>
      <c r="T25" s="164"/>
      <c r="U25" s="119"/>
      <c r="AB25" s="119"/>
    </row>
    <row r="26" spans="1:28" s="112" customFormat="1" ht="21.6" thickTop="1">
      <c r="A26" s="202" t="s">
        <v>28</v>
      </c>
      <c r="B26" s="188"/>
      <c r="C26" s="188"/>
      <c r="D26" s="179"/>
      <c r="E26" s="179"/>
      <c r="F26" s="179"/>
      <c r="G26" s="179"/>
      <c r="H26" s="190"/>
      <c r="I26" s="188"/>
      <c r="J26" s="188"/>
      <c r="K26" s="190"/>
      <c r="L26" s="188"/>
      <c r="M26" s="188"/>
      <c r="N26" s="190"/>
      <c r="O26" s="188"/>
      <c r="P26" s="188"/>
      <c r="Q26" s="190"/>
      <c r="S26" s="102"/>
      <c r="T26" s="164">
        <f>T4+T9+T23+T16</f>
        <v>16835229.169999998</v>
      </c>
      <c r="U26" s="119"/>
      <c r="AB26" s="119"/>
    </row>
    <row r="27" spans="1:28" s="112" customFormat="1" ht="21">
      <c r="A27" s="202" t="s">
        <v>29</v>
      </c>
      <c r="B27" s="188"/>
      <c r="C27" s="188"/>
      <c r="D27" s="188"/>
      <c r="E27" s="188"/>
      <c r="F27" s="188"/>
      <c r="G27" s="188"/>
      <c r="H27" s="190"/>
      <c r="I27" s="188"/>
      <c r="J27" s="188"/>
      <c r="K27" s="190"/>
      <c r="L27" s="188"/>
      <c r="M27" s="188"/>
      <c r="N27" s="190"/>
      <c r="O27" s="188"/>
      <c r="P27" s="188"/>
      <c r="Q27" s="190"/>
      <c r="S27" s="102"/>
      <c r="T27" s="193">
        <f>T5+T10+T24+T17</f>
        <v>12683569.580000002</v>
      </c>
      <c r="U27" s="119"/>
      <c r="AB27" s="119"/>
    </row>
    <row r="28" spans="1:28" s="112" customFormat="1" ht="21">
      <c r="A28" s="201" t="s">
        <v>5</v>
      </c>
      <c r="B28" s="188"/>
      <c r="C28" s="188"/>
      <c r="D28" s="188"/>
      <c r="E28" s="188"/>
      <c r="F28" s="188"/>
      <c r="G28" s="188"/>
      <c r="H28" s="190"/>
      <c r="I28" s="188"/>
      <c r="J28" s="188"/>
      <c r="K28" s="190"/>
      <c r="L28" s="188"/>
      <c r="M28" s="188"/>
      <c r="N28" s="190"/>
      <c r="O28" s="188"/>
      <c r="P28" s="188"/>
      <c r="Q28" s="190"/>
      <c r="R28" s="194"/>
      <c r="S28" s="111"/>
      <c r="T28" s="164">
        <f>SUM(T26:T27)</f>
        <v>29518798.75</v>
      </c>
      <c r="U28" s="119"/>
      <c r="AB28" s="119"/>
    </row>
    <row r="29" spans="1:28" s="112" customFormat="1" ht="21">
      <c r="A29" s="201"/>
      <c r="B29" s="188"/>
      <c r="C29" s="188"/>
      <c r="D29" s="188"/>
      <c r="E29" s="188"/>
      <c r="F29" s="188"/>
      <c r="G29" s="188"/>
      <c r="H29" s="190"/>
      <c r="I29" s="188"/>
      <c r="J29" s="188"/>
      <c r="K29" s="190"/>
      <c r="L29" s="188"/>
      <c r="M29" s="188"/>
      <c r="N29" s="190"/>
      <c r="O29" s="188"/>
      <c r="P29" s="188"/>
      <c r="Q29" s="190"/>
      <c r="R29" s="194"/>
      <c r="S29" s="111"/>
      <c r="T29" s="164"/>
      <c r="U29" s="119"/>
      <c r="AB29" s="119"/>
    </row>
    <row r="30" spans="1:28" s="112" customFormat="1" ht="47.25" customHeight="1" thickBot="1">
      <c r="A30" s="206" t="s">
        <v>11</v>
      </c>
      <c r="B30" s="188"/>
      <c r="C30" s="188"/>
      <c r="D30" s="188"/>
      <c r="E30" s="188"/>
      <c r="F30" s="188"/>
      <c r="G30" s="188"/>
      <c r="H30" s="190"/>
      <c r="I30" s="188"/>
      <c r="J30" s="188"/>
      <c r="K30" s="190"/>
      <c r="L30" s="188"/>
      <c r="M30" s="188"/>
      <c r="N30" s="190"/>
      <c r="O30" s="188"/>
      <c r="P30" s="188"/>
      <c r="Q30" s="190"/>
      <c r="S30" s="102"/>
      <c r="T30" s="195">
        <f>SUM(T28:T29)</f>
        <v>29518798.75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K31" s="102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K32" s="102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4.6">
      <c r="B33" s="188"/>
      <c r="C33" s="188"/>
      <c r="D33" s="196"/>
      <c r="E33" s="197"/>
      <c r="F33" s="197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R33" s="119"/>
      <c r="S33" s="186"/>
      <c r="T33" s="119"/>
      <c r="U33" s="119"/>
      <c r="AB33" s="119"/>
    </row>
    <row r="34" spans="2:28" s="112" customFormat="1" ht="24.6">
      <c r="B34" s="188"/>
      <c r="C34" s="188"/>
      <c r="D34" s="196"/>
      <c r="E34" s="197"/>
      <c r="F34" s="197"/>
      <c r="G34" s="188"/>
      <c r="H34" s="190"/>
      <c r="I34" s="188"/>
      <c r="J34" s="188"/>
      <c r="K34" s="190"/>
      <c r="L34" s="188"/>
      <c r="M34" s="188"/>
      <c r="N34" s="190"/>
      <c r="O34" s="188"/>
      <c r="P34" s="188"/>
      <c r="Q34" s="190"/>
      <c r="R34" s="119"/>
      <c r="S34" s="186"/>
      <c r="T34" s="119"/>
      <c r="U34" s="119"/>
      <c r="AB34" s="119"/>
    </row>
    <row r="35" spans="2:28" s="112" customFormat="1" ht="15.6">
      <c r="B35" s="188"/>
      <c r="C35" s="188"/>
      <c r="D35" s="188"/>
      <c r="E35" s="188"/>
      <c r="F35" s="188"/>
      <c r="G35" s="188"/>
      <c r="H35" s="190"/>
      <c r="I35" s="188"/>
      <c r="J35" s="188"/>
      <c r="K35" s="190"/>
      <c r="L35" s="188"/>
      <c r="M35" s="188"/>
      <c r="N35" s="190"/>
      <c r="O35" s="188"/>
      <c r="P35" s="188"/>
      <c r="Q35" s="190"/>
      <c r="R35" s="119"/>
      <c r="S35" s="186"/>
      <c r="T35" s="119"/>
      <c r="U35" s="119"/>
      <c r="AB35" s="119"/>
    </row>
    <row r="36" spans="2:28" s="112" customFormat="1" ht="15.6">
      <c r="B36" s="188"/>
      <c r="C36" s="188"/>
      <c r="D36" s="188"/>
      <c r="E36" s="188"/>
      <c r="F36" s="188"/>
      <c r="G36" s="188"/>
      <c r="H36" s="190"/>
      <c r="I36" s="188"/>
      <c r="J36" s="188"/>
      <c r="K36" s="190"/>
      <c r="L36" s="188"/>
      <c r="M36" s="188"/>
      <c r="N36" s="190"/>
      <c r="O36" s="188"/>
      <c r="P36" s="188"/>
      <c r="Q36" s="190"/>
      <c r="R36" s="119"/>
      <c r="S36" s="186"/>
      <c r="T36" s="119"/>
      <c r="U36" s="119"/>
      <c r="AB36" s="119"/>
    </row>
    <row r="37" spans="2:28" s="112" customFormat="1" ht="15.6">
      <c r="B37" s="188"/>
      <c r="C37" s="188"/>
      <c r="D37" s="188"/>
      <c r="E37" s="188"/>
      <c r="F37" s="188"/>
      <c r="G37" s="188"/>
      <c r="H37" s="190"/>
      <c r="I37" s="188"/>
      <c r="J37" s="188"/>
      <c r="K37" s="190"/>
      <c r="L37" s="188"/>
      <c r="M37" s="188"/>
      <c r="N37" s="190"/>
      <c r="O37" s="188"/>
      <c r="P37" s="188"/>
      <c r="Q37" s="190"/>
      <c r="R37" s="119"/>
      <c r="S37" s="186"/>
      <c r="T37" s="119"/>
      <c r="U37" s="119"/>
      <c r="AB37" s="119"/>
    </row>
    <row r="38" spans="2:28" s="112" customFormat="1" ht="21">
      <c r="B38" s="188"/>
      <c r="C38" s="188"/>
      <c r="D38" s="198"/>
      <c r="E38" s="188"/>
      <c r="F38" s="188"/>
      <c r="G38" s="188"/>
      <c r="H38" s="190"/>
      <c r="I38" s="188"/>
      <c r="J38" s="188"/>
      <c r="K38" s="190"/>
      <c r="L38" s="188"/>
      <c r="M38" s="188"/>
      <c r="N38" s="190"/>
      <c r="O38" s="188"/>
      <c r="P38" s="188"/>
      <c r="Q38" s="190"/>
      <c r="S38" s="102"/>
      <c r="T38" s="126"/>
      <c r="U38" s="119"/>
      <c r="AB38" s="119"/>
    </row>
    <row r="39" spans="4:20" s="112" customFormat="1" ht="21">
      <c r="D39" s="198"/>
      <c r="H39" s="102"/>
      <c r="J39" s="188"/>
      <c r="K39" s="190"/>
      <c r="N39" s="102"/>
      <c r="Q39" s="102"/>
      <c r="S39" s="102"/>
      <c r="T39" s="129"/>
    </row>
    <row r="40" spans="8:20" s="112" customFormat="1" ht="22.8">
      <c r="H40" s="102"/>
      <c r="J40" s="188"/>
      <c r="K40" s="190"/>
      <c r="N40" s="102"/>
      <c r="Q40" s="102"/>
      <c r="S40" s="102"/>
      <c r="T40" s="199"/>
    </row>
    <row r="41" spans="10:20" ht="17.4">
      <c r="J41" s="112"/>
      <c r="K41" s="102"/>
      <c r="T41" s="200"/>
    </row>
    <row r="42" spans="10:20" ht="15.6">
      <c r="J42" s="112"/>
      <c r="K42" s="102"/>
      <c r="T42" s="153"/>
    </row>
    <row r="43" ht="15.6">
      <c r="T43" s="153"/>
    </row>
    <row r="44" spans="18:19" ht="15.6">
      <c r="R44" s="172"/>
      <c r="S44" s="173"/>
    </row>
    <row r="45" spans="18:20" ht="12.75">
      <c r="R45" s="144"/>
      <c r="S45" s="177"/>
      <c r="T45" s="144"/>
    </row>
    <row r="46" spans="18:20" ht="12.75">
      <c r="R46" s="144"/>
      <c r="S46" s="177"/>
      <c r="T46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2" horizontalDpi="600" verticalDpi="600" orientation="landscape" scale="50" r:id="rId1"/>
  <headerFooter>
    <oddHeader>&amp;C&amp;"Century Schoolbook,Bold"&amp;16Big Rivers Electric Corpoation
Case No. 2012-00nnn
Revenue Summary - Smelters
Base Period June 2012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6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48.140625" style="98" customWidth="1"/>
    <col min="2" max="2" width="27.8515625" style="98" customWidth="1"/>
    <col min="3" max="3" width="28.140625" style="98" customWidth="1"/>
    <col min="4" max="4" width="25.00390625" style="98" bestFit="1" customWidth="1"/>
    <col min="5" max="5" width="24.8515625" style="98" customWidth="1"/>
    <col min="6" max="6" width="29.421875" style="98" customWidth="1"/>
    <col min="7" max="7" width="23.8515625" style="98" customWidth="1"/>
    <col min="8" max="8" width="3.42187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1.57421875" style="98" bestFit="1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26.25" customHeight="1">
      <c r="A1" s="101" t="s">
        <v>23</v>
      </c>
      <c r="C1" s="461" t="s">
        <v>20</v>
      </c>
      <c r="D1" s="456" t="s">
        <v>10</v>
      </c>
      <c r="E1" s="456" t="s">
        <v>8</v>
      </c>
      <c r="F1" s="456" t="s">
        <v>7</v>
      </c>
      <c r="G1" s="456" t="s">
        <v>9</v>
      </c>
      <c r="H1" s="102"/>
      <c r="I1" s="103">
        <v>0.002971</v>
      </c>
      <c r="J1" s="104"/>
      <c r="K1" s="105"/>
      <c r="L1" s="103">
        <v>0.002055</v>
      </c>
      <c r="M1" s="106"/>
      <c r="N1" s="106"/>
      <c r="O1" s="107">
        <v>-0.00048</v>
      </c>
      <c r="P1" s="108"/>
      <c r="Q1" s="108"/>
      <c r="R1" s="102"/>
      <c r="S1" s="102"/>
      <c r="T1" s="456" t="s">
        <v>13</v>
      </c>
      <c r="AB1" s="102"/>
    </row>
    <row r="2" spans="2:28" ht="36.75" customHeight="1">
      <c r="B2" s="109"/>
      <c r="C2" s="462"/>
      <c r="D2" s="464"/>
      <c r="E2" s="464"/>
      <c r="F2" s="457"/>
      <c r="G2" s="464"/>
      <c r="H2" s="102"/>
      <c r="I2" s="459" t="s">
        <v>16</v>
      </c>
      <c r="J2" s="460"/>
      <c r="K2" s="110"/>
      <c r="L2" s="459" t="s">
        <v>17</v>
      </c>
      <c r="M2" s="460"/>
      <c r="N2" s="110"/>
      <c r="O2" s="459" t="s">
        <v>18</v>
      </c>
      <c r="P2" s="460"/>
      <c r="Q2" s="110"/>
      <c r="R2" s="111"/>
      <c r="S2" s="102"/>
      <c r="T2" s="457"/>
      <c r="AB2" s="102"/>
    </row>
    <row r="3" spans="1:28" s="121" customFormat="1" ht="44.25" customHeight="1">
      <c r="A3" s="201" t="s">
        <v>0</v>
      </c>
      <c r="B3" s="113"/>
      <c r="C3" s="463"/>
      <c r="D3" s="465"/>
      <c r="E3" s="465"/>
      <c r="F3" s="458"/>
      <c r="G3" s="465"/>
      <c r="H3" s="114"/>
      <c r="I3" s="115" t="s">
        <v>14</v>
      </c>
      <c r="J3" s="116" t="s">
        <v>15</v>
      </c>
      <c r="K3" s="114"/>
      <c r="L3" s="115" t="s">
        <v>14</v>
      </c>
      <c r="M3" s="116" t="s">
        <v>15</v>
      </c>
      <c r="N3" s="114"/>
      <c r="O3" s="115" t="s">
        <v>14</v>
      </c>
      <c r="P3" s="116" t="s">
        <v>15</v>
      </c>
      <c r="Q3" s="114"/>
      <c r="R3" s="117" t="s">
        <v>12</v>
      </c>
      <c r="S3" s="118"/>
      <c r="T3" s="45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123">
        <v>358164250</v>
      </c>
      <c r="C4" s="124">
        <v>0</v>
      </c>
      <c r="D4" s="125">
        <v>2573491</v>
      </c>
      <c r="E4" s="125">
        <v>0</v>
      </c>
      <c r="F4" s="125">
        <f>SUM(B4:E4)</f>
        <v>360737741</v>
      </c>
      <c r="G4" s="126">
        <f>T26/F4*1000</f>
        <v>48.3198114554917</v>
      </c>
      <c r="H4" s="127"/>
      <c r="I4" s="128">
        <f>ROUND($B4*$I$1,2)</f>
        <v>1064105.99</v>
      </c>
      <c r="J4" s="126">
        <f>I4/B4*1000</f>
        <v>2.9710000090740487</v>
      </c>
      <c r="K4" s="129"/>
      <c r="L4" s="130">
        <f>ROUND(+$B4*L$1,2)</f>
        <v>736027.53</v>
      </c>
      <c r="M4" s="126">
        <f>L4/B4*1000</f>
        <v>2.0549999895299433</v>
      </c>
      <c r="N4" s="129"/>
      <c r="O4" s="131">
        <f>ROUND(+$B4*O1,2)</f>
        <v>-171918.84</v>
      </c>
      <c r="P4" s="132">
        <f>O4/B4*1000</f>
        <v>-0.48000000000000004</v>
      </c>
      <c r="Q4" s="133"/>
      <c r="R4" s="130">
        <v>653271.01</v>
      </c>
      <c r="S4" s="130"/>
      <c r="T4" s="134">
        <f>I4+L4+R4+O4</f>
        <v>2281485.6900000004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135">
        <v>268320610</v>
      </c>
      <c r="C5" s="136">
        <v>0</v>
      </c>
      <c r="D5" s="137">
        <v>178622</v>
      </c>
      <c r="E5" s="137">
        <v>0</v>
      </c>
      <c r="F5" s="137">
        <f>SUM(B5:E5)</f>
        <v>268499232</v>
      </c>
      <c r="G5" s="126">
        <f>T27/F5*1000</f>
        <v>48.698951325119616</v>
      </c>
      <c r="H5" s="127"/>
      <c r="I5" s="128">
        <f>ROUND($B5*$I$1,2)</f>
        <v>797180.53</v>
      </c>
      <c r="J5" s="126">
        <f>I5/B5*1000</f>
        <v>2.9709999913908964</v>
      </c>
      <c r="K5" s="129"/>
      <c r="L5" s="130">
        <f>ROUND(+$B5*L$1,2)</f>
        <v>551398.85</v>
      </c>
      <c r="M5" s="126">
        <f>L5/B5*1000</f>
        <v>2.054999986769559</v>
      </c>
      <c r="N5" s="129"/>
      <c r="O5" s="131">
        <f>ROUND(+$B5*O1,2)</f>
        <v>-128793.89</v>
      </c>
      <c r="P5" s="132">
        <f>O5/B5*1000</f>
        <v>-0.47999998956472256</v>
      </c>
      <c r="Q5" s="133"/>
      <c r="R5" s="138">
        <v>498764.39</v>
      </c>
      <c r="S5" s="130"/>
      <c r="T5" s="134">
        <f>I5+L5+R5+O5</f>
        <v>1718549.8800000001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139">
        <f>SUM(B4:B5)</f>
        <v>626484860</v>
      </c>
      <c r="C6" s="139">
        <f>SUM(C4:C5)</f>
        <v>0</v>
      </c>
      <c r="D6" s="140">
        <f>SUM(D4:D5)</f>
        <v>2752113</v>
      </c>
      <c r="E6" s="140">
        <f>SUM(E4:E5)</f>
        <v>0</v>
      </c>
      <c r="F6" s="140">
        <f>SUM(F4:F5)</f>
        <v>629236973</v>
      </c>
      <c r="G6" s="98"/>
      <c r="H6" s="99"/>
      <c r="I6" s="141">
        <f>SUM(I4:I5)</f>
        <v>1861286.52</v>
      </c>
      <c r="J6" s="130"/>
      <c r="K6" s="130"/>
      <c r="L6" s="141">
        <f>SUM(L4:L5)</f>
        <v>1287426.38</v>
      </c>
      <c r="M6" s="130"/>
      <c r="N6" s="130"/>
      <c r="O6" s="142">
        <f>+O4+O5</f>
        <v>-300712.73</v>
      </c>
      <c r="P6" s="130"/>
      <c r="Q6" s="130"/>
      <c r="R6" s="141">
        <f>+R4+R5</f>
        <v>1152035.4</v>
      </c>
      <c r="S6" s="130"/>
      <c r="T6" s="143">
        <f>SUM(T4:T5)</f>
        <v>4000035.5700000003</v>
      </c>
      <c r="U6" s="144"/>
      <c r="V6" s="98"/>
      <c r="W6" s="98"/>
      <c r="X6" s="98"/>
      <c r="AB6" s="145"/>
    </row>
    <row r="7" spans="1:28" s="121" customFormat="1" ht="21" thickTop="1">
      <c r="A7" s="204"/>
      <c r="B7" s="146"/>
      <c r="C7" s="147"/>
      <c r="D7" s="148"/>
      <c r="E7" s="148"/>
      <c r="F7" s="148"/>
      <c r="G7" s="149"/>
      <c r="H7" s="150"/>
      <c r="I7" s="99"/>
      <c r="J7" s="99"/>
      <c r="K7" s="99"/>
      <c r="L7" s="105"/>
      <c r="M7" s="151"/>
      <c r="N7" s="151"/>
      <c r="O7" s="127"/>
      <c r="P7" s="127"/>
      <c r="Q7" s="127"/>
      <c r="R7" s="151"/>
      <c r="S7" s="151"/>
      <c r="T7" s="152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154"/>
      <c r="C8" s="155"/>
      <c r="D8" s="153"/>
      <c r="E8" s="153"/>
      <c r="F8" s="156"/>
      <c r="G8" s="156"/>
      <c r="H8" s="157"/>
      <c r="I8" s="99"/>
      <c r="J8" s="151"/>
      <c r="K8" s="151"/>
      <c r="L8" s="151"/>
      <c r="M8" s="151"/>
      <c r="N8" s="151"/>
      <c r="O8" s="151"/>
      <c r="P8" s="151"/>
      <c r="Q8" s="151"/>
      <c r="R8" s="99"/>
      <c r="S8" s="99"/>
      <c r="T8" s="152"/>
      <c r="U8" s="144"/>
      <c r="V8" s="98"/>
      <c r="W8" s="98"/>
      <c r="X8" s="98"/>
      <c r="AB8" s="104"/>
    </row>
    <row r="9" spans="1:28" ht="18" customHeight="1">
      <c r="A9" s="202" t="s">
        <v>28</v>
      </c>
      <c r="B9" s="123">
        <v>351435840</v>
      </c>
      <c r="C9" s="158"/>
      <c r="D9" s="153"/>
      <c r="E9" s="153"/>
      <c r="F9" s="159"/>
      <c r="G9" s="159"/>
      <c r="H9" s="160"/>
      <c r="I9" s="99"/>
      <c r="J9" s="161"/>
      <c r="K9" s="161"/>
      <c r="L9" s="151"/>
      <c r="M9" s="151"/>
      <c r="N9" s="151"/>
      <c r="O9" s="162">
        <v>0.039392</v>
      </c>
      <c r="P9" s="151"/>
      <c r="Q9" s="151"/>
      <c r="R9" s="163"/>
      <c r="S9" s="163"/>
      <c r="T9" s="164">
        <f>ROUND(B9*$O$9,2)</f>
        <v>13843760.61</v>
      </c>
      <c r="AB9" s="104"/>
    </row>
    <row r="10" spans="1:28" ht="21">
      <c r="A10" s="202" t="s">
        <v>29</v>
      </c>
      <c r="B10" s="123">
        <v>268316160</v>
      </c>
      <c r="C10" s="158"/>
      <c r="D10" s="153"/>
      <c r="E10" s="153"/>
      <c r="F10" s="159"/>
      <c r="G10" s="159"/>
      <c r="H10" s="160"/>
      <c r="I10" s="99"/>
      <c r="J10" s="161"/>
      <c r="K10" s="161"/>
      <c r="L10" s="151"/>
      <c r="M10" s="151"/>
      <c r="N10" s="151"/>
      <c r="O10" s="162"/>
      <c r="P10" s="151"/>
      <c r="Q10" s="151"/>
      <c r="R10" s="165"/>
      <c r="S10" s="166"/>
      <c r="T10" s="164">
        <f>ROUND(B10*$O$9,2)</f>
        <v>10569510.17</v>
      </c>
      <c r="AB10" s="104"/>
    </row>
    <row r="11" spans="1:28" ht="21.6" thickBot="1">
      <c r="A11" s="203"/>
      <c r="B11" s="139">
        <f>SUM(B9:B10)</f>
        <v>619752000</v>
      </c>
      <c r="C11" s="130"/>
      <c r="D11" s="153"/>
      <c r="E11" s="153"/>
      <c r="F11" s="159"/>
      <c r="G11" s="159"/>
      <c r="H11" s="160"/>
      <c r="I11" s="153"/>
      <c r="J11" s="161"/>
      <c r="K11" s="161"/>
      <c r="L11" s="104"/>
      <c r="M11" s="104"/>
      <c r="N11" s="151"/>
      <c r="O11" s="167"/>
      <c r="P11" s="104"/>
      <c r="Q11" s="151"/>
      <c r="R11" s="165"/>
      <c r="S11" s="166"/>
      <c r="T11" s="164"/>
      <c r="AB11" s="104"/>
    </row>
    <row r="12" spans="1:28" ht="21.6" thickTop="1">
      <c r="A12" s="203"/>
      <c r="B12" s="168"/>
      <c r="C12" s="126"/>
      <c r="D12" s="153"/>
      <c r="E12" s="153"/>
      <c r="F12" s="153"/>
      <c r="G12" s="153"/>
      <c r="H12" s="161"/>
      <c r="I12" s="153"/>
      <c r="J12" s="153"/>
      <c r="K12" s="161"/>
      <c r="L12" s="153"/>
      <c r="M12" s="153"/>
      <c r="N12" s="161"/>
      <c r="O12" s="169"/>
      <c r="P12" s="153"/>
      <c r="Q12" s="161"/>
      <c r="R12" s="165"/>
      <c r="S12" s="166"/>
      <c r="T12" s="164"/>
      <c r="AB12" s="153"/>
    </row>
    <row r="13" spans="1:28" ht="21">
      <c r="A13" s="204"/>
      <c r="B13" s="170"/>
      <c r="C13" s="171"/>
      <c r="D13" s="172"/>
      <c r="E13" s="172"/>
      <c r="F13" s="172"/>
      <c r="G13" s="172"/>
      <c r="H13" s="173"/>
      <c r="I13" s="172"/>
      <c r="J13" s="153"/>
      <c r="K13" s="161"/>
      <c r="L13" s="172"/>
      <c r="M13" s="172"/>
      <c r="N13" s="173"/>
      <c r="O13" s="174"/>
      <c r="P13" s="172"/>
      <c r="Q13" s="173"/>
      <c r="T13" s="164"/>
      <c r="AB13" s="172"/>
    </row>
    <row r="14" spans="1:28" ht="21">
      <c r="A14" s="204"/>
      <c r="B14" s="175"/>
      <c r="C14" s="176"/>
      <c r="D14" s="144"/>
      <c r="E14" s="144"/>
      <c r="F14" s="144"/>
      <c r="G14" s="144"/>
      <c r="H14" s="177"/>
      <c r="I14" s="144"/>
      <c r="J14" s="172"/>
      <c r="K14" s="173"/>
      <c r="L14" s="144"/>
      <c r="M14" s="144"/>
      <c r="N14" s="177"/>
      <c r="O14" s="178"/>
      <c r="P14" s="144"/>
      <c r="Q14" s="177"/>
      <c r="R14" s="144"/>
      <c r="S14" s="177"/>
      <c r="T14" s="179"/>
      <c r="U14" s="144"/>
      <c r="AB14" s="144"/>
    </row>
    <row r="15" spans="1:28" ht="21">
      <c r="A15" s="205" t="s">
        <v>2</v>
      </c>
      <c r="B15" s="180"/>
      <c r="C15" s="181"/>
      <c r="D15" s="144"/>
      <c r="E15" s="144"/>
      <c r="F15" s="144"/>
      <c r="G15" s="144"/>
      <c r="H15" s="177"/>
      <c r="I15" s="144"/>
      <c r="J15" s="144"/>
      <c r="K15" s="177"/>
      <c r="L15" s="144"/>
      <c r="M15" s="144"/>
      <c r="N15" s="177"/>
      <c r="O15" s="178"/>
      <c r="P15" s="144"/>
      <c r="Q15" s="177"/>
      <c r="R15" s="144"/>
      <c r="S15" s="177"/>
      <c r="T15" s="182"/>
      <c r="U15" s="144"/>
      <c r="AB15" s="144"/>
    </row>
    <row r="16" spans="1:28" ht="21">
      <c r="A16" s="202" t="s">
        <v>28</v>
      </c>
      <c r="B16" s="123">
        <f>B4-B9</f>
        <v>6728410</v>
      </c>
      <c r="C16" s="183"/>
      <c r="D16" s="144"/>
      <c r="E16" s="144"/>
      <c r="F16" s="144"/>
      <c r="G16" s="144"/>
      <c r="H16" s="177"/>
      <c r="I16" s="144"/>
      <c r="J16" s="144"/>
      <c r="K16" s="177"/>
      <c r="L16" s="144"/>
      <c r="M16" s="144"/>
      <c r="N16" s="177"/>
      <c r="O16" s="178">
        <v>0.021806</v>
      </c>
      <c r="P16" s="144"/>
      <c r="Q16" s="177"/>
      <c r="R16" s="144"/>
      <c r="S16" s="177"/>
      <c r="T16" s="184">
        <f>ROUND(B16*$O$16,2)-0.01</f>
        <v>146719.69999999998</v>
      </c>
      <c r="U16" s="144"/>
      <c r="AB16" s="144"/>
    </row>
    <row r="17" spans="1:28" ht="21">
      <c r="A17" s="202" t="s">
        <v>29</v>
      </c>
      <c r="B17" s="123">
        <f>B5-B10</f>
        <v>4450</v>
      </c>
      <c r="C17" s="183"/>
      <c r="D17" s="144"/>
      <c r="E17" s="144"/>
      <c r="F17" s="144"/>
      <c r="G17" s="144"/>
      <c r="H17" s="177"/>
      <c r="I17" s="144"/>
      <c r="J17" s="144"/>
      <c r="K17" s="177"/>
      <c r="L17" s="144"/>
      <c r="M17" s="144"/>
      <c r="N17" s="177"/>
      <c r="O17" s="178"/>
      <c r="P17" s="144"/>
      <c r="Q17" s="177"/>
      <c r="R17" s="144"/>
      <c r="S17" s="177"/>
      <c r="T17" s="184">
        <f>ROUND(B17*$O$16,2)-0.01</f>
        <v>97.03</v>
      </c>
      <c r="U17" s="144"/>
      <c r="AB17" s="144"/>
    </row>
    <row r="18" spans="1:28" ht="21.6" thickBot="1">
      <c r="A18" s="203"/>
      <c r="B18" s="139">
        <f>SUM(B16:B17)</f>
        <v>6732860</v>
      </c>
      <c r="C18" s="131"/>
      <c r="D18" s="144"/>
      <c r="E18" s="144"/>
      <c r="F18" s="144"/>
      <c r="G18" s="144"/>
      <c r="H18" s="177"/>
      <c r="I18" s="144"/>
      <c r="J18" s="144"/>
      <c r="K18" s="177"/>
      <c r="L18" s="144"/>
      <c r="M18" s="144"/>
      <c r="N18" s="177"/>
      <c r="O18" s="178"/>
      <c r="P18" s="144"/>
      <c r="Q18" s="177"/>
      <c r="R18" s="144"/>
      <c r="S18" s="177"/>
      <c r="T18" s="182"/>
      <c r="U18" s="144"/>
      <c r="AB18" s="144"/>
    </row>
    <row r="19" spans="1:28" ht="21.6" thickTop="1">
      <c r="A19" s="204"/>
      <c r="B19" s="185"/>
      <c r="C19" s="185"/>
      <c r="D19" s="144"/>
      <c r="E19" s="144"/>
      <c r="F19" s="144"/>
      <c r="G19" s="144"/>
      <c r="H19" s="177"/>
      <c r="I19" s="144"/>
      <c r="J19" s="144"/>
      <c r="K19" s="177"/>
      <c r="L19" s="144"/>
      <c r="M19" s="144"/>
      <c r="N19" s="177"/>
      <c r="O19" s="144"/>
      <c r="P19" s="144"/>
      <c r="Q19" s="177"/>
      <c r="R19" s="144"/>
      <c r="S19" s="177"/>
      <c r="T19" s="182"/>
      <c r="U19" s="144"/>
      <c r="AB19" s="144"/>
    </row>
    <row r="20" spans="1:28" ht="21">
      <c r="A20" s="204"/>
      <c r="B20" s="144"/>
      <c r="C20" s="144"/>
      <c r="D20" s="144"/>
      <c r="E20" s="144"/>
      <c r="F20" s="144"/>
      <c r="G20" s="144"/>
      <c r="H20" s="177"/>
      <c r="I20" s="144"/>
      <c r="J20" s="144"/>
      <c r="K20" s="177"/>
      <c r="L20" s="144"/>
      <c r="M20" s="144"/>
      <c r="N20" s="177"/>
      <c r="O20" s="144"/>
      <c r="P20" s="144"/>
      <c r="Q20" s="177"/>
      <c r="T20" s="184"/>
      <c r="U20" s="144"/>
      <c r="AB20" s="144"/>
    </row>
    <row r="21" spans="1:28" s="112" customFormat="1" ht="14.25" customHeight="1">
      <c r="A21" s="201"/>
      <c r="B21" s="119"/>
      <c r="C21" s="119"/>
      <c r="D21" s="119"/>
      <c r="E21" s="119"/>
      <c r="F21" s="119"/>
      <c r="G21" s="153"/>
      <c r="H21" s="161"/>
      <c r="I21" s="119"/>
      <c r="J21" s="144"/>
      <c r="K21" s="177"/>
      <c r="L21" s="119"/>
      <c r="M21" s="119"/>
      <c r="N21" s="186"/>
      <c r="O21" s="119"/>
      <c r="P21" s="119"/>
      <c r="Q21" s="186"/>
      <c r="S21" s="102"/>
      <c r="T21" s="184"/>
      <c r="U21" s="119"/>
      <c r="AB21" s="119"/>
    </row>
    <row r="22" spans="1:28" s="112" customFormat="1" ht="45" customHeight="1">
      <c r="A22" s="201"/>
      <c r="B22" s="119"/>
      <c r="C22" s="208" t="s">
        <v>3</v>
      </c>
      <c r="D22" s="208" t="s">
        <v>4</v>
      </c>
      <c r="E22" s="208" t="s">
        <v>6</v>
      </c>
      <c r="F22" s="241" t="s">
        <v>19</v>
      </c>
      <c r="H22" s="161"/>
      <c r="I22" s="119"/>
      <c r="J22" s="119"/>
      <c r="K22" s="186"/>
      <c r="L22" s="119"/>
      <c r="M22" s="119"/>
      <c r="N22" s="186"/>
      <c r="O22" s="119"/>
      <c r="P22" s="119"/>
      <c r="Q22" s="186"/>
      <c r="S22" s="102"/>
      <c r="T22" s="184"/>
      <c r="U22" s="119"/>
      <c r="AB22" s="119"/>
    </row>
    <row r="23" spans="1:28" s="112" customFormat="1" ht="23.25" customHeight="1">
      <c r="A23" s="202" t="s">
        <v>28</v>
      </c>
      <c r="B23" s="188"/>
      <c r="C23" s="179">
        <v>1020014.18</v>
      </c>
      <c r="D23" s="182">
        <v>0</v>
      </c>
      <c r="E23" s="179">
        <v>138799.45</v>
      </c>
      <c r="F23" s="182">
        <v>0</v>
      </c>
      <c r="H23" s="189"/>
      <c r="I23" s="188"/>
      <c r="J23" s="119"/>
      <c r="K23" s="186"/>
      <c r="L23" s="188"/>
      <c r="M23" s="188"/>
      <c r="N23" s="190"/>
      <c r="O23" s="188"/>
      <c r="P23" s="188"/>
      <c r="Q23" s="190"/>
      <c r="S23" s="102"/>
      <c r="T23" s="184">
        <f>C23+D23+E23+F23</f>
        <v>1158813.6300000001</v>
      </c>
      <c r="U23" s="119"/>
      <c r="AB23" s="119"/>
    </row>
    <row r="24" spans="1:28" s="112" customFormat="1" ht="21">
      <c r="A24" s="202" t="s">
        <v>29</v>
      </c>
      <c r="B24" s="188"/>
      <c r="C24" s="179">
        <v>778766.02</v>
      </c>
      <c r="D24" s="182">
        <v>0</v>
      </c>
      <c r="E24" s="179">
        <v>8707.93</v>
      </c>
      <c r="F24" s="182">
        <v>0</v>
      </c>
      <c r="H24" s="189"/>
      <c r="I24" s="188"/>
      <c r="J24" s="188"/>
      <c r="K24" s="190"/>
      <c r="L24" s="188"/>
      <c r="M24" s="188"/>
      <c r="N24" s="190"/>
      <c r="O24" s="188"/>
      <c r="P24" s="188"/>
      <c r="Q24" s="190"/>
      <c r="S24" s="102"/>
      <c r="T24" s="184">
        <f>C24+D24+E24+F24</f>
        <v>787473.9500000001</v>
      </c>
      <c r="U24" s="119"/>
      <c r="AB24" s="119"/>
    </row>
    <row r="25" spans="1:28" s="112" customFormat="1" ht="21.6" thickBot="1">
      <c r="A25" s="201"/>
      <c r="B25" s="188"/>
      <c r="C25" s="191">
        <f>SUM(C23:C24)</f>
        <v>1798780.2000000002</v>
      </c>
      <c r="D25" s="192">
        <f>SUM(D23:D24)</f>
        <v>0</v>
      </c>
      <c r="E25" s="191">
        <f>SUM(E23:E24)</f>
        <v>147507.38</v>
      </c>
      <c r="F25" s="192">
        <f>SUM(F23:F24)</f>
        <v>0</v>
      </c>
      <c r="H25" s="189"/>
      <c r="I25" s="188"/>
      <c r="J25" s="188"/>
      <c r="K25" s="190"/>
      <c r="L25" s="188"/>
      <c r="M25" s="188"/>
      <c r="N25" s="190"/>
      <c r="O25" s="188"/>
      <c r="P25" s="188"/>
      <c r="Q25" s="190"/>
      <c r="S25" s="102"/>
      <c r="T25" s="164"/>
      <c r="U25" s="119"/>
      <c r="AB25" s="119"/>
    </row>
    <row r="26" spans="1:28" s="112" customFormat="1" ht="21.6" thickTop="1">
      <c r="A26" s="202" t="s">
        <v>28</v>
      </c>
      <c r="B26" s="188"/>
      <c r="C26" s="188"/>
      <c r="D26" s="179"/>
      <c r="E26" s="179"/>
      <c r="F26" s="179"/>
      <c r="G26" s="179"/>
      <c r="H26" s="190"/>
      <c r="I26" s="188"/>
      <c r="J26" s="188"/>
      <c r="K26" s="190"/>
      <c r="L26" s="188"/>
      <c r="M26" s="188"/>
      <c r="N26" s="190"/>
      <c r="O26" s="188"/>
      <c r="P26" s="188"/>
      <c r="Q26" s="190"/>
      <c r="S26" s="102"/>
      <c r="T26" s="164">
        <f>T4+T9+T23+T16</f>
        <v>17430779.63</v>
      </c>
      <c r="U26" s="119"/>
      <c r="AB26" s="119"/>
    </row>
    <row r="27" spans="1:28" s="112" customFormat="1" ht="21">
      <c r="A27" s="202" t="s">
        <v>29</v>
      </c>
      <c r="B27" s="188"/>
      <c r="C27" s="188"/>
      <c r="D27" s="188"/>
      <c r="E27" s="188"/>
      <c r="F27" s="188"/>
      <c r="G27" s="188"/>
      <c r="H27" s="190"/>
      <c r="I27" s="188"/>
      <c r="J27" s="188"/>
      <c r="K27" s="190"/>
      <c r="L27" s="188"/>
      <c r="M27" s="188"/>
      <c r="N27" s="190"/>
      <c r="O27" s="188"/>
      <c r="P27" s="188"/>
      <c r="Q27" s="190"/>
      <c r="S27" s="102"/>
      <c r="T27" s="193">
        <f>T5+T10+T24+T17</f>
        <v>13075631.03</v>
      </c>
      <c r="U27" s="119"/>
      <c r="AB27" s="119"/>
    </row>
    <row r="28" spans="1:28" s="112" customFormat="1" ht="21">
      <c r="A28" s="201" t="s">
        <v>5</v>
      </c>
      <c r="B28" s="188"/>
      <c r="C28" s="188"/>
      <c r="D28" s="188"/>
      <c r="E28" s="188"/>
      <c r="F28" s="188"/>
      <c r="G28" s="188"/>
      <c r="H28" s="190"/>
      <c r="I28" s="188"/>
      <c r="J28" s="188"/>
      <c r="K28" s="190"/>
      <c r="L28" s="188"/>
      <c r="M28" s="188"/>
      <c r="N28" s="190"/>
      <c r="O28" s="188"/>
      <c r="P28" s="188"/>
      <c r="Q28" s="190"/>
      <c r="R28" s="194"/>
      <c r="S28" s="111"/>
      <c r="T28" s="164">
        <f>SUM(T26:T27)</f>
        <v>30506410.659999996</v>
      </c>
      <c r="U28" s="119"/>
      <c r="AB28" s="119"/>
    </row>
    <row r="29" spans="1:28" s="112" customFormat="1" ht="21">
      <c r="A29" s="201"/>
      <c r="B29" s="188"/>
      <c r="C29" s="188"/>
      <c r="D29" s="188"/>
      <c r="E29" s="188"/>
      <c r="F29" s="188"/>
      <c r="G29" s="188"/>
      <c r="H29" s="190"/>
      <c r="I29" s="188"/>
      <c r="J29" s="188"/>
      <c r="K29" s="190"/>
      <c r="L29" s="188"/>
      <c r="M29" s="188"/>
      <c r="N29" s="190"/>
      <c r="O29" s="188"/>
      <c r="P29" s="188"/>
      <c r="Q29" s="190"/>
      <c r="R29" s="240"/>
      <c r="S29" s="239"/>
      <c r="T29" s="179"/>
      <c r="U29" s="119"/>
      <c r="AB29" s="119"/>
    </row>
    <row r="30" spans="1:28" s="112" customFormat="1" ht="47.25" customHeight="1" thickBot="1">
      <c r="A30" s="206" t="s">
        <v>11</v>
      </c>
      <c r="B30" s="188"/>
      <c r="C30" s="188"/>
      <c r="D30" s="188"/>
      <c r="E30" s="188"/>
      <c r="F30" s="188"/>
      <c r="G30" s="188"/>
      <c r="H30" s="190"/>
      <c r="I30" s="188"/>
      <c r="J30" s="188"/>
      <c r="K30" s="190"/>
      <c r="L30" s="188"/>
      <c r="M30" s="188"/>
      <c r="N30" s="190"/>
      <c r="O30" s="188"/>
      <c r="P30" s="188"/>
      <c r="Q30" s="190"/>
      <c r="S30" s="102"/>
      <c r="T30" s="195">
        <f>SUM(T28:T28)</f>
        <v>30506410.659999996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K31" s="102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K32" s="102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4.6">
      <c r="B33" s="188"/>
      <c r="C33" s="188"/>
      <c r="D33" s="196"/>
      <c r="E33" s="197"/>
      <c r="F33" s="197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R33" s="119"/>
      <c r="S33" s="186"/>
      <c r="T33" s="119"/>
      <c r="U33" s="119"/>
      <c r="AB33" s="119"/>
    </row>
    <row r="34" spans="2:28" s="112" customFormat="1" ht="24.6">
      <c r="B34" s="188"/>
      <c r="C34" s="188"/>
      <c r="D34" s="196"/>
      <c r="E34" s="197"/>
      <c r="F34" s="197"/>
      <c r="G34" s="188"/>
      <c r="H34" s="190"/>
      <c r="I34" s="188"/>
      <c r="J34" s="188"/>
      <c r="K34" s="190"/>
      <c r="L34" s="188"/>
      <c r="M34" s="188"/>
      <c r="N34" s="190"/>
      <c r="O34" s="188"/>
      <c r="P34" s="188"/>
      <c r="Q34" s="190"/>
      <c r="R34" s="119"/>
      <c r="S34" s="186"/>
      <c r="T34" s="119"/>
      <c r="U34" s="119"/>
      <c r="AB34" s="119"/>
    </row>
    <row r="35" spans="2:28" s="112" customFormat="1" ht="15.6">
      <c r="B35" s="188"/>
      <c r="C35" s="188"/>
      <c r="D35" s="188"/>
      <c r="E35" s="188"/>
      <c r="F35" s="188"/>
      <c r="G35" s="188"/>
      <c r="H35" s="190"/>
      <c r="I35" s="188"/>
      <c r="J35" s="188"/>
      <c r="K35" s="190"/>
      <c r="L35" s="188"/>
      <c r="M35" s="188"/>
      <c r="N35" s="190"/>
      <c r="O35" s="188"/>
      <c r="P35" s="188"/>
      <c r="Q35" s="190"/>
      <c r="R35" s="119"/>
      <c r="S35" s="186"/>
      <c r="T35" s="119"/>
      <c r="U35" s="119"/>
      <c r="AB35" s="119"/>
    </row>
    <row r="36" spans="2:28" s="112" customFormat="1" ht="15.6">
      <c r="B36" s="188"/>
      <c r="C36" s="188"/>
      <c r="D36" s="188"/>
      <c r="E36" s="188"/>
      <c r="F36" s="188"/>
      <c r="G36" s="188"/>
      <c r="H36" s="190"/>
      <c r="I36" s="188"/>
      <c r="J36" s="188"/>
      <c r="K36" s="190"/>
      <c r="L36" s="188"/>
      <c r="M36" s="188"/>
      <c r="N36" s="190"/>
      <c r="O36" s="188"/>
      <c r="P36" s="188"/>
      <c r="Q36" s="190"/>
      <c r="R36" s="119"/>
      <c r="S36" s="186"/>
      <c r="T36" s="119"/>
      <c r="U36" s="119"/>
      <c r="AB36" s="119"/>
    </row>
    <row r="37" spans="2:28" s="112" customFormat="1" ht="15.6">
      <c r="B37" s="188"/>
      <c r="C37" s="188"/>
      <c r="D37" s="188"/>
      <c r="E37" s="188"/>
      <c r="F37" s="188"/>
      <c r="G37" s="188"/>
      <c r="H37" s="190"/>
      <c r="I37" s="188"/>
      <c r="J37" s="188"/>
      <c r="K37" s="190"/>
      <c r="L37" s="188"/>
      <c r="M37" s="188"/>
      <c r="N37" s="190"/>
      <c r="O37" s="188"/>
      <c r="P37" s="188"/>
      <c r="Q37" s="190"/>
      <c r="R37" s="119"/>
      <c r="S37" s="186"/>
      <c r="T37" s="119"/>
      <c r="U37" s="119"/>
      <c r="AB37" s="119"/>
    </row>
    <row r="38" spans="2:28" s="112" customFormat="1" ht="21">
      <c r="B38" s="188"/>
      <c r="C38" s="188"/>
      <c r="D38" s="198"/>
      <c r="E38" s="188"/>
      <c r="F38" s="188"/>
      <c r="G38" s="188"/>
      <c r="H38" s="190"/>
      <c r="I38" s="188"/>
      <c r="J38" s="188"/>
      <c r="K38" s="190"/>
      <c r="L38" s="188"/>
      <c r="M38" s="188"/>
      <c r="N38" s="190"/>
      <c r="O38" s="188"/>
      <c r="P38" s="188"/>
      <c r="Q38" s="190"/>
      <c r="S38" s="102"/>
      <c r="T38" s="126"/>
      <c r="U38" s="119"/>
      <c r="AB38" s="119"/>
    </row>
    <row r="39" spans="4:20" s="112" customFormat="1" ht="21">
      <c r="D39" s="198"/>
      <c r="H39" s="102"/>
      <c r="J39" s="188"/>
      <c r="K39" s="190"/>
      <c r="N39" s="102"/>
      <c r="Q39" s="102"/>
      <c r="S39" s="102"/>
      <c r="T39" s="129"/>
    </row>
    <row r="40" spans="8:20" s="112" customFormat="1" ht="22.8">
      <c r="H40" s="102"/>
      <c r="J40" s="188"/>
      <c r="K40" s="190"/>
      <c r="N40" s="102"/>
      <c r="Q40" s="102"/>
      <c r="S40" s="102"/>
      <c r="T40" s="199"/>
    </row>
    <row r="41" spans="10:20" ht="17.4">
      <c r="J41" s="112"/>
      <c r="K41" s="102"/>
      <c r="T41" s="200"/>
    </row>
    <row r="42" spans="10:20" ht="15.6">
      <c r="J42" s="112"/>
      <c r="K42" s="102"/>
      <c r="T42" s="153"/>
    </row>
    <row r="43" ht="15.6">
      <c r="T43" s="153"/>
    </row>
    <row r="44" spans="18:19" ht="15.6">
      <c r="R44" s="172"/>
      <c r="S44" s="173"/>
    </row>
    <row r="45" spans="18:20" ht="12.75">
      <c r="R45" s="144"/>
      <c r="S45" s="177"/>
      <c r="T45" s="144"/>
    </row>
    <row r="46" spans="18:20" ht="12.75">
      <c r="R46" s="144"/>
      <c r="S46" s="177"/>
      <c r="T46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3" horizontalDpi="600" verticalDpi="600" orientation="landscape" scale="50" r:id="rId1"/>
  <headerFooter>
    <oddHeader>&amp;C&amp;"Century Schoolbook,Bold"&amp;16Big Rivers Electric Corporation
Case No. 2012-00nnn
Revenue Summary - Smelters
Base Period July 2012
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6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48.140625" style="98" customWidth="1"/>
    <col min="2" max="2" width="27.8515625" style="98" customWidth="1"/>
    <col min="3" max="3" width="28.140625" style="98" customWidth="1"/>
    <col min="4" max="4" width="25.00390625" style="98" bestFit="1" customWidth="1"/>
    <col min="5" max="5" width="24.8515625" style="98" customWidth="1"/>
    <col min="6" max="6" width="29.421875" style="98" customWidth="1"/>
    <col min="7" max="7" width="23.8515625" style="98" customWidth="1"/>
    <col min="8" max="8" width="3.42187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1.57421875" style="98" bestFit="1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36.75" customHeight="1">
      <c r="A1" s="101" t="s">
        <v>24</v>
      </c>
      <c r="C1" s="461" t="s">
        <v>20</v>
      </c>
      <c r="D1" s="456" t="s">
        <v>10</v>
      </c>
      <c r="E1" s="456" t="s">
        <v>8</v>
      </c>
      <c r="F1" s="456" t="s">
        <v>7</v>
      </c>
      <c r="G1" s="456" t="s">
        <v>9</v>
      </c>
      <c r="H1" s="102"/>
      <c r="I1" s="103">
        <v>0.00359</v>
      </c>
      <c r="J1" s="104"/>
      <c r="K1" s="105"/>
      <c r="L1" s="103">
        <v>0.002261</v>
      </c>
      <c r="M1" s="106"/>
      <c r="N1" s="106"/>
      <c r="O1" s="242">
        <v>-0.000312</v>
      </c>
      <c r="P1" s="108"/>
      <c r="Q1" s="108"/>
      <c r="R1" s="102"/>
      <c r="S1" s="102"/>
      <c r="T1" s="456" t="s">
        <v>13</v>
      </c>
      <c r="AB1" s="102"/>
    </row>
    <row r="2" spans="2:28" ht="36.75" customHeight="1">
      <c r="B2" s="109"/>
      <c r="C2" s="462"/>
      <c r="D2" s="464"/>
      <c r="E2" s="464"/>
      <c r="F2" s="457"/>
      <c r="G2" s="464"/>
      <c r="H2" s="102"/>
      <c r="I2" s="459" t="s">
        <v>16</v>
      </c>
      <c r="J2" s="460"/>
      <c r="K2" s="110"/>
      <c r="L2" s="459" t="s">
        <v>17</v>
      </c>
      <c r="M2" s="460"/>
      <c r="N2" s="110"/>
      <c r="O2" s="459" t="s">
        <v>18</v>
      </c>
      <c r="P2" s="460"/>
      <c r="Q2" s="110"/>
      <c r="R2" s="111"/>
      <c r="S2" s="102"/>
      <c r="T2" s="457"/>
      <c r="AB2" s="102"/>
    </row>
    <row r="3" spans="1:28" s="121" customFormat="1" ht="44.25" customHeight="1">
      <c r="A3" s="201" t="s">
        <v>0</v>
      </c>
      <c r="B3" s="113"/>
      <c r="C3" s="463"/>
      <c r="D3" s="465"/>
      <c r="E3" s="465"/>
      <c r="F3" s="458"/>
      <c r="G3" s="465"/>
      <c r="H3" s="114"/>
      <c r="I3" s="115" t="s">
        <v>14</v>
      </c>
      <c r="J3" s="116" t="s">
        <v>15</v>
      </c>
      <c r="K3" s="114"/>
      <c r="L3" s="115" t="s">
        <v>14</v>
      </c>
      <c r="M3" s="116" t="s">
        <v>15</v>
      </c>
      <c r="N3" s="114"/>
      <c r="O3" s="115" t="s">
        <v>14</v>
      </c>
      <c r="P3" s="116" t="s">
        <v>15</v>
      </c>
      <c r="Q3" s="114"/>
      <c r="R3" s="117" t="s">
        <v>12</v>
      </c>
      <c r="S3" s="118"/>
      <c r="T3" s="45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123">
        <v>357573693</v>
      </c>
      <c r="C4" s="124">
        <v>0</v>
      </c>
      <c r="D4" s="125">
        <v>1525097</v>
      </c>
      <c r="E4" s="125">
        <v>0</v>
      </c>
      <c r="F4" s="125">
        <f>SUM(B4:E4)</f>
        <v>359098790</v>
      </c>
      <c r="G4" s="126">
        <f>T26/F4*1000</f>
        <v>49.257288168528774</v>
      </c>
      <c r="H4" s="127"/>
      <c r="I4" s="128">
        <f>ROUND($B4*$I$1,2)</f>
        <v>1283689.56</v>
      </c>
      <c r="J4" s="126">
        <f>I4/B4*1000</f>
        <v>3.5900000059568145</v>
      </c>
      <c r="K4" s="129"/>
      <c r="L4" s="130">
        <f>ROUND(+$B4*L$1,2)</f>
        <v>808474.12</v>
      </c>
      <c r="M4" s="126">
        <f>L4/B4*1000</f>
        <v>2.2610000003551716</v>
      </c>
      <c r="N4" s="129"/>
      <c r="O4" s="131">
        <f>ROUND(+$B4*O1,2)</f>
        <v>-111562.99</v>
      </c>
      <c r="P4" s="132">
        <f>O4/B4*1000</f>
        <v>-0.31199999380267607</v>
      </c>
      <c r="Q4" s="133"/>
      <c r="R4" s="130">
        <v>653271.01</v>
      </c>
      <c r="S4" s="130"/>
      <c r="T4" s="134">
        <f>I4+L4+R4+O4</f>
        <v>2633871.7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135">
        <v>263628400</v>
      </c>
      <c r="C5" s="136">
        <v>0</v>
      </c>
      <c r="D5" s="137">
        <v>30132</v>
      </c>
      <c r="E5" s="137">
        <v>-883386</v>
      </c>
      <c r="F5" s="137">
        <f>SUM(B5:E5)</f>
        <v>262775146</v>
      </c>
      <c r="G5" s="126">
        <f>T27/F5*1000</f>
        <v>50.13929517519895</v>
      </c>
      <c r="H5" s="127"/>
      <c r="I5" s="128">
        <f>ROUND($B5*$I$1,2)</f>
        <v>946425.96</v>
      </c>
      <c r="J5" s="126">
        <f>I5/B5*1000</f>
        <v>3.590000015172872</v>
      </c>
      <c r="K5" s="129"/>
      <c r="L5" s="130">
        <f>ROUND(+$B5*L$1,2)</f>
        <v>596063.81</v>
      </c>
      <c r="M5" s="126">
        <f>L5/B5*1000</f>
        <v>2.260999990896277</v>
      </c>
      <c r="N5" s="129"/>
      <c r="O5" s="131">
        <f>ROUND(+$B5*O1,2)</f>
        <v>-82252.06</v>
      </c>
      <c r="P5" s="132">
        <f>O5/B5*1000</f>
        <v>-0.3119999969654256</v>
      </c>
      <c r="Q5" s="133"/>
      <c r="R5" s="138">
        <v>498764.39</v>
      </c>
      <c r="S5" s="130"/>
      <c r="T5" s="134">
        <f>I5+L5+R5+O5</f>
        <v>1959002.1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139">
        <f>SUM(B4:B5)</f>
        <v>621202093</v>
      </c>
      <c r="C6" s="139">
        <f>SUM(C4:C5)</f>
        <v>0</v>
      </c>
      <c r="D6" s="140">
        <f>SUM(D4:D5)</f>
        <v>1555229</v>
      </c>
      <c r="E6" s="140">
        <f>SUM(E4:E5)</f>
        <v>-883386</v>
      </c>
      <c r="F6" s="140">
        <f>SUM(F4:F5)</f>
        <v>621873936</v>
      </c>
      <c r="G6" s="98"/>
      <c r="H6" s="99"/>
      <c r="I6" s="141">
        <f>SUM(I4:I5)</f>
        <v>2230115.52</v>
      </c>
      <c r="J6" s="130"/>
      <c r="K6" s="130"/>
      <c r="L6" s="141">
        <f>SUM(L4:L5)</f>
        <v>1404537.9300000002</v>
      </c>
      <c r="M6" s="130"/>
      <c r="N6" s="130"/>
      <c r="O6" s="142">
        <f>+O4+O5</f>
        <v>-193815.05</v>
      </c>
      <c r="P6" s="130"/>
      <c r="Q6" s="130"/>
      <c r="R6" s="141">
        <f>+R4+R5</f>
        <v>1152035.4</v>
      </c>
      <c r="S6" s="130"/>
      <c r="T6" s="143">
        <f>SUM(T4:T5)</f>
        <v>4592873.800000001</v>
      </c>
      <c r="U6" s="144"/>
      <c r="V6" s="98"/>
      <c r="W6" s="98"/>
      <c r="X6" s="98"/>
      <c r="AB6" s="145"/>
    </row>
    <row r="7" spans="1:28" s="121" customFormat="1" ht="21" thickTop="1">
      <c r="A7" s="204"/>
      <c r="B7" s="146"/>
      <c r="C7" s="147"/>
      <c r="D7" s="148"/>
      <c r="E7" s="148"/>
      <c r="F7" s="148"/>
      <c r="G7" s="149"/>
      <c r="H7" s="150"/>
      <c r="I7" s="99"/>
      <c r="J7" s="99"/>
      <c r="K7" s="99"/>
      <c r="L7" s="105"/>
      <c r="M7" s="151"/>
      <c r="N7" s="151"/>
      <c r="O7" s="127"/>
      <c r="P7" s="127"/>
      <c r="Q7" s="127"/>
      <c r="R7" s="151"/>
      <c r="S7" s="151"/>
      <c r="T7" s="152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154"/>
      <c r="C8" s="155"/>
      <c r="D8" s="153"/>
      <c r="E8" s="153"/>
      <c r="F8" s="156"/>
      <c r="G8" s="156"/>
      <c r="H8" s="157"/>
      <c r="I8" s="99"/>
      <c r="J8" s="151"/>
      <c r="K8" s="151"/>
      <c r="L8" s="151"/>
      <c r="M8" s="151"/>
      <c r="N8" s="151"/>
      <c r="O8" s="151"/>
      <c r="P8" s="151"/>
      <c r="Q8" s="151"/>
      <c r="R8" s="99"/>
      <c r="S8" s="99"/>
      <c r="T8" s="152"/>
      <c r="U8" s="144"/>
      <c r="V8" s="98"/>
      <c r="W8" s="98"/>
      <c r="X8" s="98"/>
      <c r="AB8" s="104"/>
    </row>
    <row r="9" spans="1:28" ht="18" customHeight="1">
      <c r="A9" s="202" t="s">
        <v>28</v>
      </c>
      <c r="B9" s="123">
        <v>351435840</v>
      </c>
      <c r="C9" s="158"/>
      <c r="D9" s="153"/>
      <c r="E9" s="153"/>
      <c r="F9" s="159"/>
      <c r="G9" s="159"/>
      <c r="H9" s="160"/>
      <c r="I9" s="99"/>
      <c r="J9" s="161"/>
      <c r="K9" s="161"/>
      <c r="L9" s="151"/>
      <c r="M9" s="151"/>
      <c r="N9" s="151"/>
      <c r="O9" s="162">
        <v>0.039392</v>
      </c>
      <c r="P9" s="151"/>
      <c r="Q9" s="151"/>
      <c r="R9" s="163"/>
      <c r="S9" s="163"/>
      <c r="T9" s="164">
        <f>ROUND(B9*$O$9,2)</f>
        <v>13843760.61</v>
      </c>
      <c r="AB9" s="104"/>
    </row>
    <row r="10" spans="1:28" ht="21">
      <c r="A10" s="202" t="s">
        <v>29</v>
      </c>
      <c r="B10" s="123">
        <v>268316160</v>
      </c>
      <c r="C10" s="158"/>
      <c r="D10" s="153"/>
      <c r="E10" s="153"/>
      <c r="F10" s="159"/>
      <c r="G10" s="159"/>
      <c r="H10" s="160"/>
      <c r="I10" s="99"/>
      <c r="J10" s="161"/>
      <c r="K10" s="161"/>
      <c r="L10" s="151"/>
      <c r="M10" s="151"/>
      <c r="N10" s="151"/>
      <c r="O10" s="162"/>
      <c r="P10" s="151"/>
      <c r="Q10" s="151"/>
      <c r="R10" s="165"/>
      <c r="S10" s="166"/>
      <c r="T10" s="164">
        <f>ROUND(B10*$O$9,2)</f>
        <v>10569510.17</v>
      </c>
      <c r="AB10" s="104"/>
    </row>
    <row r="11" spans="1:28" ht="21.6" thickBot="1">
      <c r="A11" s="203"/>
      <c r="B11" s="139">
        <f>SUM(B9:B10)</f>
        <v>619752000</v>
      </c>
      <c r="C11" s="130"/>
      <c r="D11" s="153"/>
      <c r="E11" s="153"/>
      <c r="F11" s="159"/>
      <c r="G11" s="159"/>
      <c r="H11" s="160"/>
      <c r="I11" s="153"/>
      <c r="J11" s="161"/>
      <c r="K11" s="161"/>
      <c r="L11" s="104"/>
      <c r="M11" s="104"/>
      <c r="N11" s="151"/>
      <c r="O11" s="167"/>
      <c r="P11" s="104"/>
      <c r="Q11" s="151"/>
      <c r="R11" s="165"/>
      <c r="S11" s="166"/>
      <c r="T11" s="164"/>
      <c r="AB11" s="104"/>
    </row>
    <row r="12" spans="1:28" ht="21.6" thickTop="1">
      <c r="A12" s="203"/>
      <c r="B12" s="168"/>
      <c r="C12" s="126"/>
      <c r="D12" s="153"/>
      <c r="E12" s="153"/>
      <c r="F12" s="153"/>
      <c r="G12" s="153"/>
      <c r="H12" s="161"/>
      <c r="I12" s="153"/>
      <c r="J12" s="153"/>
      <c r="K12" s="161"/>
      <c r="L12" s="153"/>
      <c r="M12" s="153"/>
      <c r="N12" s="161"/>
      <c r="O12" s="169"/>
      <c r="P12" s="153"/>
      <c r="Q12" s="161"/>
      <c r="R12" s="165"/>
      <c r="S12" s="166"/>
      <c r="T12" s="164"/>
      <c r="AB12" s="153"/>
    </row>
    <row r="13" spans="1:28" ht="21">
      <c r="A13" s="204"/>
      <c r="B13" s="170"/>
      <c r="C13" s="171"/>
      <c r="D13" s="172"/>
      <c r="E13" s="172"/>
      <c r="F13" s="172"/>
      <c r="G13" s="172"/>
      <c r="H13" s="173"/>
      <c r="I13" s="172"/>
      <c r="J13" s="153"/>
      <c r="K13" s="161"/>
      <c r="L13" s="172"/>
      <c r="M13" s="172"/>
      <c r="N13" s="173"/>
      <c r="O13" s="174"/>
      <c r="P13" s="172"/>
      <c r="Q13" s="173"/>
      <c r="T13" s="164"/>
      <c r="AB13" s="172"/>
    </row>
    <row r="14" spans="1:28" ht="21">
      <c r="A14" s="204"/>
      <c r="B14" s="175"/>
      <c r="C14" s="176"/>
      <c r="D14" s="144"/>
      <c r="E14" s="144"/>
      <c r="F14" s="144"/>
      <c r="G14" s="144"/>
      <c r="H14" s="177"/>
      <c r="I14" s="144"/>
      <c r="J14" s="172"/>
      <c r="K14" s="173"/>
      <c r="L14" s="144"/>
      <c r="M14" s="144"/>
      <c r="N14" s="177"/>
      <c r="O14" s="178"/>
      <c r="P14" s="144"/>
      <c r="Q14" s="177"/>
      <c r="R14" s="144"/>
      <c r="S14" s="177"/>
      <c r="T14" s="179"/>
      <c r="U14" s="144"/>
      <c r="AB14" s="144"/>
    </row>
    <row r="15" spans="1:28" ht="21">
      <c r="A15" s="205" t="s">
        <v>2</v>
      </c>
      <c r="B15" s="180"/>
      <c r="C15" s="181"/>
      <c r="D15" s="144"/>
      <c r="E15" s="144"/>
      <c r="F15" s="144"/>
      <c r="G15" s="144"/>
      <c r="H15" s="177"/>
      <c r="I15" s="144"/>
      <c r="J15" s="144"/>
      <c r="K15" s="177"/>
      <c r="L15" s="144"/>
      <c r="M15" s="144"/>
      <c r="N15" s="177"/>
      <c r="O15" s="178"/>
      <c r="P15" s="144"/>
      <c r="Q15" s="177"/>
      <c r="R15" s="144"/>
      <c r="S15" s="177"/>
      <c r="T15" s="182"/>
      <c r="U15" s="144"/>
      <c r="AB15" s="144"/>
    </row>
    <row r="16" spans="1:28" ht="21">
      <c r="A16" s="202" t="s">
        <v>28</v>
      </c>
      <c r="B16" s="123">
        <f>B4-B9</f>
        <v>6137853</v>
      </c>
      <c r="C16" s="183"/>
      <c r="D16" s="144"/>
      <c r="E16" s="144"/>
      <c r="F16" s="144"/>
      <c r="G16" s="144"/>
      <c r="H16" s="177"/>
      <c r="I16" s="144"/>
      <c r="J16" s="144"/>
      <c r="K16" s="177"/>
      <c r="L16" s="144"/>
      <c r="M16" s="144"/>
      <c r="N16" s="177"/>
      <c r="O16" s="178">
        <v>0.021806</v>
      </c>
      <c r="P16" s="144"/>
      <c r="Q16" s="177"/>
      <c r="R16" s="144"/>
      <c r="S16" s="177"/>
      <c r="T16" s="184">
        <f>ROUND(B16*$O$16,2)</f>
        <v>133842.02</v>
      </c>
      <c r="U16" s="144"/>
      <c r="AB16" s="144"/>
    </row>
    <row r="17" spans="1:28" ht="21">
      <c r="A17" s="202" t="s">
        <v>29</v>
      </c>
      <c r="B17" s="123">
        <f>B5-B10</f>
        <v>-4687760</v>
      </c>
      <c r="C17" s="183"/>
      <c r="D17" s="144"/>
      <c r="E17" s="144"/>
      <c r="F17" s="144"/>
      <c r="G17" s="144"/>
      <c r="H17" s="177"/>
      <c r="I17" s="144"/>
      <c r="J17" s="144"/>
      <c r="K17" s="177"/>
      <c r="L17" s="144"/>
      <c r="M17" s="144"/>
      <c r="N17" s="177"/>
      <c r="O17" s="178"/>
      <c r="P17" s="144"/>
      <c r="Q17" s="177"/>
      <c r="R17" s="144"/>
      <c r="S17" s="177"/>
      <c r="T17" s="184">
        <f>ROUND(B17*$O$16,2)</f>
        <v>-102221.29</v>
      </c>
      <c r="U17" s="144"/>
      <c r="AB17" s="144"/>
    </row>
    <row r="18" spans="1:28" ht="21.6" thickBot="1">
      <c r="A18" s="203"/>
      <c r="B18" s="139">
        <f>SUM(B16:B17)</f>
        <v>1450093</v>
      </c>
      <c r="C18" s="131"/>
      <c r="D18" s="144"/>
      <c r="E18" s="144"/>
      <c r="F18" s="144"/>
      <c r="G18" s="144"/>
      <c r="H18" s="177"/>
      <c r="I18" s="144"/>
      <c r="J18" s="144"/>
      <c r="K18" s="177"/>
      <c r="L18" s="144"/>
      <c r="M18" s="144"/>
      <c r="N18" s="177"/>
      <c r="O18" s="178"/>
      <c r="P18" s="144"/>
      <c r="Q18" s="177"/>
      <c r="R18" s="144"/>
      <c r="S18" s="177"/>
      <c r="T18" s="182"/>
      <c r="U18" s="144"/>
      <c r="AB18" s="144"/>
    </row>
    <row r="19" spans="1:28" ht="21.6" thickTop="1">
      <c r="A19" s="204"/>
      <c r="B19" s="185"/>
      <c r="C19" s="185"/>
      <c r="D19" s="144"/>
      <c r="E19" s="144"/>
      <c r="F19" s="144"/>
      <c r="G19" s="144"/>
      <c r="H19" s="177"/>
      <c r="I19" s="144"/>
      <c r="J19" s="144"/>
      <c r="K19" s="177"/>
      <c r="L19" s="144"/>
      <c r="M19" s="144"/>
      <c r="N19" s="177"/>
      <c r="O19" s="144"/>
      <c r="P19" s="144"/>
      <c r="Q19" s="177"/>
      <c r="R19" s="144"/>
      <c r="S19" s="177"/>
      <c r="T19" s="182"/>
      <c r="U19" s="144"/>
      <c r="AB19" s="144"/>
    </row>
    <row r="20" spans="1:28" ht="21">
      <c r="A20" s="204"/>
      <c r="B20" s="144"/>
      <c r="C20" s="144"/>
      <c r="D20" s="144"/>
      <c r="E20" s="144"/>
      <c r="F20" s="144"/>
      <c r="G20" s="144"/>
      <c r="H20" s="177"/>
      <c r="I20" s="144"/>
      <c r="J20" s="144"/>
      <c r="K20" s="177"/>
      <c r="L20" s="144"/>
      <c r="M20" s="144"/>
      <c r="N20" s="177"/>
      <c r="O20" s="144"/>
      <c r="P20" s="144"/>
      <c r="Q20" s="177"/>
      <c r="T20" s="184"/>
      <c r="U20" s="144"/>
      <c r="AB20" s="144"/>
    </row>
    <row r="21" spans="1:28" s="112" customFormat="1" ht="14.25" customHeight="1">
      <c r="A21" s="201"/>
      <c r="B21" s="119"/>
      <c r="C21" s="119"/>
      <c r="D21" s="119"/>
      <c r="E21" s="119"/>
      <c r="F21" s="119"/>
      <c r="G21" s="153"/>
      <c r="H21" s="161"/>
      <c r="I21" s="119"/>
      <c r="J21" s="144"/>
      <c r="K21" s="177"/>
      <c r="L21" s="119"/>
      <c r="M21" s="119"/>
      <c r="N21" s="186"/>
      <c r="O21" s="119"/>
      <c r="P21" s="119"/>
      <c r="Q21" s="186"/>
      <c r="S21" s="102"/>
      <c r="T21" s="184"/>
      <c r="U21" s="119"/>
      <c r="AB21" s="119"/>
    </row>
    <row r="22" spans="1:28" s="112" customFormat="1" ht="48" customHeight="1">
      <c r="A22" s="201"/>
      <c r="B22" s="119"/>
      <c r="C22" s="208" t="s">
        <v>3</v>
      </c>
      <c r="D22" s="208" t="s">
        <v>4</v>
      </c>
      <c r="E22" s="208" t="s">
        <v>6</v>
      </c>
      <c r="F22" s="241" t="s">
        <v>19</v>
      </c>
      <c r="H22" s="161"/>
      <c r="I22" s="119"/>
      <c r="J22" s="119"/>
      <c r="K22" s="186"/>
      <c r="L22" s="119"/>
      <c r="M22" s="119"/>
      <c r="N22" s="186"/>
      <c r="O22" s="119"/>
      <c r="P22" s="119"/>
      <c r="Q22" s="186"/>
      <c r="S22" s="102"/>
      <c r="T22" s="184"/>
      <c r="U22" s="119"/>
      <c r="AB22" s="119"/>
    </row>
    <row r="23" spans="1:28" s="112" customFormat="1" ht="23.25" customHeight="1">
      <c r="A23" s="202" t="s">
        <v>28</v>
      </c>
      <c r="B23" s="188"/>
      <c r="C23" s="179">
        <v>1020014.18</v>
      </c>
      <c r="D23" s="182">
        <v>0</v>
      </c>
      <c r="E23" s="179">
        <v>56744.07</v>
      </c>
      <c r="F23" s="182">
        <v>0</v>
      </c>
      <c r="H23" s="189"/>
      <c r="I23" s="188"/>
      <c r="J23" s="119"/>
      <c r="K23" s="186"/>
      <c r="L23" s="188"/>
      <c r="M23" s="188"/>
      <c r="N23" s="190"/>
      <c r="O23" s="188"/>
      <c r="P23" s="188"/>
      <c r="Q23" s="190"/>
      <c r="S23" s="102"/>
      <c r="T23" s="184">
        <f>C23+D23+E23+F23</f>
        <v>1076758.25</v>
      </c>
      <c r="U23" s="119"/>
      <c r="AB23" s="119"/>
    </row>
    <row r="24" spans="1:28" s="112" customFormat="1" ht="21">
      <c r="A24" s="202" t="s">
        <v>29</v>
      </c>
      <c r="B24" s="188"/>
      <c r="C24" s="179">
        <v>778766.02</v>
      </c>
      <c r="D24" s="182">
        <v>-31370.64</v>
      </c>
      <c r="E24" s="179">
        <v>1674.25</v>
      </c>
      <c r="F24" s="182">
        <v>0</v>
      </c>
      <c r="H24" s="189"/>
      <c r="I24" s="188"/>
      <c r="J24" s="188"/>
      <c r="K24" s="190"/>
      <c r="L24" s="188"/>
      <c r="M24" s="188"/>
      <c r="N24" s="190"/>
      <c r="O24" s="188"/>
      <c r="P24" s="188"/>
      <c r="Q24" s="190"/>
      <c r="S24" s="102"/>
      <c r="T24" s="184">
        <f>C24+D24+E24+F24</f>
        <v>749069.63</v>
      </c>
      <c r="U24" s="119"/>
      <c r="AB24" s="119"/>
    </row>
    <row r="25" spans="1:28" s="112" customFormat="1" ht="21.6" thickBot="1">
      <c r="A25" s="201"/>
      <c r="B25" s="188"/>
      <c r="C25" s="191">
        <f>SUM(C23:C24)</f>
        <v>1798780.2000000002</v>
      </c>
      <c r="D25" s="192">
        <f>SUM(D23:D24)</f>
        <v>-31370.64</v>
      </c>
      <c r="E25" s="191">
        <f>SUM(E23:E24)</f>
        <v>58418.32</v>
      </c>
      <c r="F25" s="192">
        <f>SUM(F23:F24)</f>
        <v>0</v>
      </c>
      <c r="H25" s="189"/>
      <c r="I25" s="188"/>
      <c r="J25" s="188"/>
      <c r="K25" s="190"/>
      <c r="L25" s="188"/>
      <c r="M25" s="188"/>
      <c r="N25" s="190"/>
      <c r="O25" s="188"/>
      <c r="P25" s="188"/>
      <c r="Q25" s="190"/>
      <c r="S25" s="102"/>
      <c r="T25" s="164"/>
      <c r="U25" s="119"/>
      <c r="AB25" s="119"/>
    </row>
    <row r="26" spans="1:28" s="112" customFormat="1" ht="21.6" thickTop="1">
      <c r="A26" s="202" t="s">
        <v>28</v>
      </c>
      <c r="B26" s="188"/>
      <c r="C26" s="188"/>
      <c r="D26" s="179"/>
      <c r="E26" s="179"/>
      <c r="F26" s="179"/>
      <c r="G26" s="179"/>
      <c r="H26" s="190"/>
      <c r="I26" s="188"/>
      <c r="J26" s="188"/>
      <c r="K26" s="190"/>
      <c r="L26" s="188"/>
      <c r="M26" s="188"/>
      <c r="N26" s="190"/>
      <c r="O26" s="188"/>
      <c r="P26" s="188"/>
      <c r="Q26" s="190"/>
      <c r="S26" s="102"/>
      <c r="T26" s="164">
        <f>T4+T9+T23+T16</f>
        <v>17688232.58</v>
      </c>
      <c r="U26" s="119"/>
      <c r="AB26" s="119"/>
    </row>
    <row r="27" spans="1:28" s="112" customFormat="1" ht="21">
      <c r="A27" s="202" t="s">
        <v>29</v>
      </c>
      <c r="B27" s="188"/>
      <c r="C27" s="188"/>
      <c r="D27" s="188"/>
      <c r="E27" s="188"/>
      <c r="F27" s="188"/>
      <c r="G27" s="188"/>
      <c r="H27" s="190"/>
      <c r="I27" s="188"/>
      <c r="J27" s="188"/>
      <c r="K27" s="190"/>
      <c r="L27" s="188"/>
      <c r="M27" s="188"/>
      <c r="N27" s="190"/>
      <c r="O27" s="188"/>
      <c r="P27" s="188"/>
      <c r="Q27" s="190"/>
      <c r="S27" s="102"/>
      <c r="T27" s="193">
        <f>T5+T10+T24+T17</f>
        <v>13175360.610000001</v>
      </c>
      <c r="U27" s="119"/>
      <c r="AB27" s="119"/>
    </row>
    <row r="28" spans="1:28" s="112" customFormat="1" ht="21">
      <c r="A28" s="201" t="s">
        <v>5</v>
      </c>
      <c r="B28" s="188"/>
      <c r="C28" s="188"/>
      <c r="D28" s="188"/>
      <c r="E28" s="188"/>
      <c r="F28" s="188"/>
      <c r="G28" s="188"/>
      <c r="H28" s="190"/>
      <c r="I28" s="188"/>
      <c r="J28" s="188"/>
      <c r="K28" s="190"/>
      <c r="L28" s="188"/>
      <c r="M28" s="188"/>
      <c r="N28" s="190"/>
      <c r="O28" s="188"/>
      <c r="P28" s="188"/>
      <c r="Q28" s="190"/>
      <c r="R28" s="194"/>
      <c r="S28" s="111"/>
      <c r="T28" s="164">
        <f>SUM(T26:T27)</f>
        <v>30863593.189999998</v>
      </c>
      <c r="U28" s="119"/>
      <c r="AB28" s="119"/>
    </row>
    <row r="29" spans="1:28" s="112" customFormat="1" ht="27.75" customHeight="1">
      <c r="A29" s="201"/>
      <c r="B29" s="188"/>
      <c r="C29" s="188"/>
      <c r="D29" s="188"/>
      <c r="E29" s="188"/>
      <c r="F29" s="188"/>
      <c r="G29" s="188"/>
      <c r="H29" s="190"/>
      <c r="I29" s="188"/>
      <c r="J29" s="188"/>
      <c r="K29" s="190"/>
      <c r="L29" s="188"/>
      <c r="M29" s="188"/>
      <c r="N29" s="190"/>
      <c r="O29" s="188"/>
      <c r="P29" s="188"/>
      <c r="Q29" s="190"/>
      <c r="R29" s="194"/>
      <c r="S29" s="111"/>
      <c r="T29" s="164"/>
      <c r="U29" s="119"/>
      <c r="AB29" s="119"/>
    </row>
    <row r="30" spans="1:28" s="112" customFormat="1" ht="42.75" customHeight="1" thickBot="1">
      <c r="A30" s="206" t="s">
        <v>11</v>
      </c>
      <c r="B30" s="188"/>
      <c r="C30" s="188"/>
      <c r="D30" s="188"/>
      <c r="E30" s="188"/>
      <c r="F30" s="188"/>
      <c r="G30" s="188"/>
      <c r="H30" s="190"/>
      <c r="I30" s="188"/>
      <c r="J30" s="188"/>
      <c r="K30" s="190"/>
      <c r="L30" s="188"/>
      <c r="M30" s="188"/>
      <c r="N30" s="190"/>
      <c r="O30" s="188"/>
      <c r="P30" s="188"/>
      <c r="Q30" s="190"/>
      <c r="S30" s="102"/>
      <c r="T30" s="195">
        <f>SUM(T28:T29)</f>
        <v>30863593.189999998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K31" s="102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K32" s="102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4.6">
      <c r="B33" s="188"/>
      <c r="C33" s="188"/>
      <c r="D33" s="196"/>
      <c r="E33" s="197"/>
      <c r="F33" s="197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R33" s="119"/>
      <c r="S33" s="186"/>
      <c r="T33" s="119"/>
      <c r="U33" s="119"/>
      <c r="AB33" s="119"/>
    </row>
    <row r="34" spans="2:28" s="112" customFormat="1" ht="24.6">
      <c r="B34" s="188"/>
      <c r="C34" s="188"/>
      <c r="D34" s="196"/>
      <c r="E34" s="197"/>
      <c r="F34" s="197"/>
      <c r="G34" s="188"/>
      <c r="H34" s="190"/>
      <c r="I34" s="188"/>
      <c r="J34" s="188"/>
      <c r="K34" s="190"/>
      <c r="L34" s="188"/>
      <c r="M34" s="188"/>
      <c r="N34" s="190"/>
      <c r="O34" s="188"/>
      <c r="P34" s="188"/>
      <c r="Q34" s="190"/>
      <c r="R34" s="119"/>
      <c r="S34" s="186"/>
      <c r="T34" s="119"/>
      <c r="U34" s="119"/>
      <c r="AB34" s="119"/>
    </row>
    <row r="35" spans="2:28" s="112" customFormat="1" ht="15.6">
      <c r="B35" s="188"/>
      <c r="C35" s="188"/>
      <c r="D35" s="188"/>
      <c r="E35" s="188"/>
      <c r="F35" s="188"/>
      <c r="G35" s="188"/>
      <c r="H35" s="190"/>
      <c r="I35" s="188"/>
      <c r="J35" s="188"/>
      <c r="K35" s="190"/>
      <c r="L35" s="188"/>
      <c r="M35" s="188"/>
      <c r="N35" s="190"/>
      <c r="O35" s="188"/>
      <c r="P35" s="188"/>
      <c r="Q35" s="190"/>
      <c r="R35" s="119"/>
      <c r="S35" s="186"/>
      <c r="T35" s="119"/>
      <c r="U35" s="119"/>
      <c r="AB35" s="119"/>
    </row>
    <row r="36" spans="2:28" s="112" customFormat="1" ht="15.6">
      <c r="B36" s="188"/>
      <c r="C36" s="188"/>
      <c r="D36" s="188"/>
      <c r="E36" s="188"/>
      <c r="F36" s="188"/>
      <c r="G36" s="188"/>
      <c r="H36" s="190"/>
      <c r="I36" s="188"/>
      <c r="J36" s="188"/>
      <c r="K36" s="190"/>
      <c r="L36" s="188"/>
      <c r="M36" s="188"/>
      <c r="N36" s="190"/>
      <c r="O36" s="188"/>
      <c r="P36" s="188"/>
      <c r="Q36" s="190"/>
      <c r="R36" s="119"/>
      <c r="S36" s="186"/>
      <c r="T36" s="119"/>
      <c r="U36" s="119"/>
      <c r="AB36" s="119"/>
    </row>
    <row r="37" spans="2:28" s="112" customFormat="1" ht="15.6">
      <c r="B37" s="188"/>
      <c r="C37" s="188"/>
      <c r="D37" s="188"/>
      <c r="E37" s="188"/>
      <c r="F37" s="188"/>
      <c r="G37" s="188"/>
      <c r="H37" s="190"/>
      <c r="I37" s="188"/>
      <c r="J37" s="188"/>
      <c r="K37" s="190"/>
      <c r="L37" s="188"/>
      <c r="M37" s="188"/>
      <c r="N37" s="190"/>
      <c r="O37" s="188"/>
      <c r="P37" s="188"/>
      <c r="Q37" s="190"/>
      <c r="R37" s="119"/>
      <c r="S37" s="186"/>
      <c r="T37" s="119"/>
      <c r="U37" s="119"/>
      <c r="AB37" s="119"/>
    </row>
    <row r="38" spans="2:28" s="112" customFormat="1" ht="21">
      <c r="B38" s="188"/>
      <c r="C38" s="188"/>
      <c r="D38" s="198"/>
      <c r="E38" s="188"/>
      <c r="F38" s="188"/>
      <c r="G38" s="188"/>
      <c r="H38" s="190"/>
      <c r="I38" s="188"/>
      <c r="J38" s="188"/>
      <c r="K38" s="190"/>
      <c r="L38" s="188"/>
      <c r="M38" s="188"/>
      <c r="N38" s="190"/>
      <c r="O38" s="188"/>
      <c r="P38" s="188"/>
      <c r="Q38" s="190"/>
      <c r="S38" s="102"/>
      <c r="T38" s="126"/>
      <c r="U38" s="119"/>
      <c r="AB38" s="119"/>
    </row>
    <row r="39" spans="4:20" s="112" customFormat="1" ht="21">
      <c r="D39" s="198"/>
      <c r="H39" s="102"/>
      <c r="J39" s="188"/>
      <c r="K39" s="190"/>
      <c r="N39" s="102"/>
      <c r="Q39" s="102"/>
      <c r="S39" s="102"/>
      <c r="T39" s="129"/>
    </row>
    <row r="40" spans="8:20" s="112" customFormat="1" ht="22.8">
      <c r="H40" s="102"/>
      <c r="J40" s="188"/>
      <c r="K40" s="190"/>
      <c r="N40" s="102"/>
      <c r="Q40" s="102"/>
      <c r="S40" s="102"/>
      <c r="T40" s="199"/>
    </row>
    <row r="41" spans="10:20" ht="17.4">
      <c r="J41" s="112"/>
      <c r="K41" s="102"/>
      <c r="T41" s="200"/>
    </row>
    <row r="42" spans="10:20" ht="15.6">
      <c r="J42" s="112"/>
      <c r="K42" s="102"/>
      <c r="T42" s="153"/>
    </row>
    <row r="43" ht="15.6">
      <c r="T43" s="153"/>
    </row>
    <row r="44" spans="18:19" ht="15.6">
      <c r="R44" s="172"/>
      <c r="S44" s="173"/>
    </row>
    <row r="45" spans="18:20" ht="12.75">
      <c r="R45" s="144"/>
      <c r="S45" s="177"/>
      <c r="T45" s="144"/>
    </row>
    <row r="46" spans="18:20" ht="12.75">
      <c r="R46" s="144"/>
      <c r="S46" s="177"/>
      <c r="T46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2" horizontalDpi="600" verticalDpi="600" orientation="landscape" scale="46" r:id="rId1"/>
  <headerFooter>
    <oddHeader>&amp;C&amp;"Century Schoolbook,Bold"&amp;16Big Rivers Electric Corporation
Case No. 2012-00nnn
Revenue Summary - Smelters
Base Period August 2012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6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48.140625" style="98" customWidth="1"/>
    <col min="2" max="2" width="27.8515625" style="98" customWidth="1"/>
    <col min="3" max="3" width="28.140625" style="98" customWidth="1"/>
    <col min="4" max="4" width="25.00390625" style="98" bestFit="1" customWidth="1"/>
    <col min="5" max="5" width="24.8515625" style="98" customWidth="1"/>
    <col min="6" max="6" width="29.421875" style="98" customWidth="1"/>
    <col min="7" max="7" width="23.8515625" style="98" customWidth="1"/>
    <col min="8" max="8" width="3.42187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1.57421875" style="98" bestFit="1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36.75" customHeight="1">
      <c r="A1" s="234" t="s">
        <v>25</v>
      </c>
      <c r="C1" s="461" t="s">
        <v>20</v>
      </c>
      <c r="D1" s="456" t="s">
        <v>10</v>
      </c>
      <c r="E1" s="456" t="s">
        <v>8</v>
      </c>
      <c r="F1" s="456" t="s">
        <v>7</v>
      </c>
      <c r="G1" s="456" t="s">
        <v>9</v>
      </c>
      <c r="H1" s="102"/>
      <c r="I1" s="103">
        <v>0.003318</v>
      </c>
      <c r="J1" s="104"/>
      <c r="K1" s="105"/>
      <c r="L1" s="103">
        <v>0.002077</v>
      </c>
      <c r="M1" s="106"/>
      <c r="N1" s="106"/>
      <c r="O1" s="242">
        <v>-0.000569</v>
      </c>
      <c r="P1" s="108"/>
      <c r="Q1" s="108"/>
      <c r="R1" s="102"/>
      <c r="S1" s="102"/>
      <c r="T1" s="456" t="s">
        <v>13</v>
      </c>
      <c r="AB1" s="102"/>
    </row>
    <row r="2" spans="2:28" ht="36.75" customHeight="1">
      <c r="B2" s="109"/>
      <c r="C2" s="462"/>
      <c r="D2" s="464"/>
      <c r="E2" s="464"/>
      <c r="F2" s="457"/>
      <c r="G2" s="464"/>
      <c r="H2" s="102"/>
      <c r="I2" s="459" t="s">
        <v>16</v>
      </c>
      <c r="J2" s="460"/>
      <c r="K2" s="110"/>
      <c r="L2" s="459" t="s">
        <v>17</v>
      </c>
      <c r="M2" s="460"/>
      <c r="N2" s="110"/>
      <c r="O2" s="459" t="s">
        <v>18</v>
      </c>
      <c r="P2" s="460"/>
      <c r="Q2" s="110"/>
      <c r="R2" s="111"/>
      <c r="S2" s="102"/>
      <c r="T2" s="457"/>
      <c r="AB2" s="102"/>
    </row>
    <row r="3" spans="1:28" s="121" customFormat="1" ht="44.25" customHeight="1">
      <c r="A3" s="201" t="s">
        <v>0</v>
      </c>
      <c r="B3" s="113"/>
      <c r="C3" s="463"/>
      <c r="D3" s="465"/>
      <c r="E3" s="465"/>
      <c r="F3" s="458"/>
      <c r="G3" s="465"/>
      <c r="H3" s="114"/>
      <c r="I3" s="115" t="s">
        <v>14</v>
      </c>
      <c r="J3" s="116" t="s">
        <v>15</v>
      </c>
      <c r="K3" s="114"/>
      <c r="L3" s="115" t="s">
        <v>14</v>
      </c>
      <c r="M3" s="116" t="s">
        <v>15</v>
      </c>
      <c r="N3" s="114"/>
      <c r="O3" s="115" t="s">
        <v>14</v>
      </c>
      <c r="P3" s="116" t="s">
        <v>15</v>
      </c>
      <c r="Q3" s="114"/>
      <c r="R3" s="117" t="s">
        <v>12</v>
      </c>
      <c r="S3" s="118"/>
      <c r="T3" s="45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123">
        <v>345213171</v>
      </c>
      <c r="C4" s="124">
        <v>0</v>
      </c>
      <c r="D4" s="125">
        <v>594822</v>
      </c>
      <c r="E4" s="125">
        <v>0</v>
      </c>
      <c r="F4" s="125">
        <f>SUM(B4:E4)</f>
        <v>345807993</v>
      </c>
      <c r="G4" s="126">
        <f>T26/F4*1000</f>
        <v>48.73963696958271</v>
      </c>
      <c r="H4" s="127"/>
      <c r="I4" s="128">
        <f>ROUND($B4*$I$1,2)</f>
        <v>1145417.3</v>
      </c>
      <c r="J4" s="126">
        <f>I4/B4*1000</f>
        <v>3.317999996008264</v>
      </c>
      <c r="K4" s="129"/>
      <c r="L4" s="130">
        <f>ROUND(+$B4*L$1,2)</f>
        <v>717007.76</v>
      </c>
      <c r="M4" s="126">
        <f>L4/B4*1000</f>
        <v>2.0770000111032845</v>
      </c>
      <c r="N4" s="129"/>
      <c r="O4" s="131">
        <f>ROUND(+$B4*O1,2)</f>
        <v>-196426.29</v>
      </c>
      <c r="P4" s="132">
        <f>O4/B4*1000</f>
        <v>-0.568999987546825</v>
      </c>
      <c r="Q4" s="133"/>
      <c r="R4" s="130">
        <v>639667.04</v>
      </c>
      <c r="S4" s="130"/>
      <c r="T4" s="134">
        <f>I4+L4+R4+O4</f>
        <v>2305665.81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135">
        <v>258249044</v>
      </c>
      <c r="C5" s="136">
        <v>0</v>
      </c>
      <c r="D5" s="137">
        <v>296598</v>
      </c>
      <c r="E5" s="137">
        <v>-1609798</v>
      </c>
      <c r="F5" s="137">
        <f>SUM(B5:E5)</f>
        <v>256935844</v>
      </c>
      <c r="G5" s="126">
        <f>T27/F5*1000</f>
        <v>49.306021428446556</v>
      </c>
      <c r="H5" s="127"/>
      <c r="I5" s="128">
        <f>ROUND($B5*$I$1,2)</f>
        <v>856870.33</v>
      </c>
      <c r="J5" s="126">
        <f>I5/B5*1000</f>
        <v>3.3180000077754404</v>
      </c>
      <c r="K5" s="129"/>
      <c r="L5" s="130">
        <f>ROUND(+$B5*L$1,2)+0.01</f>
        <v>536383.27</v>
      </c>
      <c r="M5" s="126">
        <f>L5/B5*1000</f>
        <v>2.0770000217309614</v>
      </c>
      <c r="N5" s="129"/>
      <c r="O5" s="131">
        <f>ROUND(+$B5*O1,2)</f>
        <v>-146943.71</v>
      </c>
      <c r="P5" s="132">
        <f>O5/B5*1000</f>
        <v>-0.5690000153495244</v>
      </c>
      <c r="Q5" s="133"/>
      <c r="R5" s="138">
        <v>488377.96</v>
      </c>
      <c r="S5" s="130"/>
      <c r="T5" s="134">
        <f>I5+L5+R5+O5</f>
        <v>1734687.85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139">
        <f>SUM(B4:B5)</f>
        <v>603462215</v>
      </c>
      <c r="C6" s="139">
        <f>SUM(C4:C5)</f>
        <v>0</v>
      </c>
      <c r="D6" s="140">
        <f>SUM(D4:D5)</f>
        <v>891420</v>
      </c>
      <c r="E6" s="140">
        <f>SUM(E4:E5)</f>
        <v>-1609798</v>
      </c>
      <c r="F6" s="140">
        <f>SUM(F4:F5)</f>
        <v>602743837</v>
      </c>
      <c r="G6" s="98"/>
      <c r="H6" s="99"/>
      <c r="I6" s="141">
        <f>SUM(I4:I5)</f>
        <v>2002287.63</v>
      </c>
      <c r="J6" s="130"/>
      <c r="K6" s="130"/>
      <c r="L6" s="141">
        <f>SUM(L4:L5)</f>
        <v>1253391.03</v>
      </c>
      <c r="M6" s="130"/>
      <c r="N6" s="130"/>
      <c r="O6" s="142">
        <f>+O4+O5</f>
        <v>-343370</v>
      </c>
      <c r="P6" s="130"/>
      <c r="Q6" s="130"/>
      <c r="R6" s="141">
        <f>+R4+R5</f>
        <v>1128045</v>
      </c>
      <c r="S6" s="130"/>
      <c r="T6" s="143">
        <f>SUM(T4:T5)</f>
        <v>4040353.66</v>
      </c>
      <c r="U6" s="144"/>
      <c r="V6" s="98"/>
      <c r="W6" s="98"/>
      <c r="X6" s="98"/>
      <c r="AB6" s="145"/>
    </row>
    <row r="7" spans="1:28" s="121" customFormat="1" ht="21" thickTop="1">
      <c r="A7" s="204"/>
      <c r="B7" s="146"/>
      <c r="C7" s="147"/>
      <c r="D7" s="148"/>
      <c r="E7" s="148"/>
      <c r="F7" s="148"/>
      <c r="G7" s="149"/>
      <c r="H7" s="150"/>
      <c r="I7" s="99"/>
      <c r="J7" s="99"/>
      <c r="K7" s="99"/>
      <c r="L7" s="105"/>
      <c r="M7" s="151"/>
      <c r="N7" s="151"/>
      <c r="O7" s="127"/>
      <c r="P7" s="127"/>
      <c r="Q7" s="127"/>
      <c r="R7" s="151"/>
      <c r="S7" s="151"/>
      <c r="T7" s="152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154"/>
      <c r="C8" s="155"/>
      <c r="D8" s="153"/>
      <c r="E8" s="153"/>
      <c r="F8" s="156"/>
      <c r="G8" s="156"/>
      <c r="H8" s="157"/>
      <c r="I8" s="99"/>
      <c r="J8" s="151"/>
      <c r="K8" s="151"/>
      <c r="L8" s="151"/>
      <c r="M8" s="151"/>
      <c r="N8" s="151"/>
      <c r="O8" s="151"/>
      <c r="P8" s="151"/>
      <c r="Q8" s="151"/>
      <c r="R8" s="99"/>
      <c r="S8" s="99"/>
      <c r="T8" s="152"/>
      <c r="U8" s="144"/>
      <c r="V8" s="98"/>
      <c r="W8" s="98"/>
      <c r="X8" s="98"/>
      <c r="AB8" s="104"/>
    </row>
    <row r="9" spans="1:28" ht="18" customHeight="1">
      <c r="A9" s="202" t="s">
        <v>28</v>
      </c>
      <c r="B9" s="123">
        <v>340099200</v>
      </c>
      <c r="C9" s="158"/>
      <c r="D9" s="153"/>
      <c r="E9" s="153"/>
      <c r="F9" s="159"/>
      <c r="G9" s="159"/>
      <c r="H9" s="160"/>
      <c r="I9" s="99"/>
      <c r="J9" s="161"/>
      <c r="K9" s="161"/>
      <c r="L9" s="151"/>
      <c r="M9" s="151"/>
      <c r="N9" s="151"/>
      <c r="O9" s="162">
        <v>0.039392</v>
      </c>
      <c r="P9" s="151"/>
      <c r="Q9" s="151"/>
      <c r="R9" s="163"/>
      <c r="S9" s="163"/>
      <c r="T9" s="164">
        <f>ROUND(B9*$O$9,2)</f>
        <v>13397187.69</v>
      </c>
      <c r="AB9" s="104"/>
    </row>
    <row r="10" spans="1:28" ht="21">
      <c r="A10" s="202" t="s">
        <v>29</v>
      </c>
      <c r="B10" s="123">
        <v>259660800</v>
      </c>
      <c r="C10" s="158"/>
      <c r="D10" s="153"/>
      <c r="E10" s="153"/>
      <c r="F10" s="159"/>
      <c r="G10" s="159"/>
      <c r="H10" s="160"/>
      <c r="I10" s="99"/>
      <c r="J10" s="161"/>
      <c r="K10" s="161"/>
      <c r="L10" s="151"/>
      <c r="M10" s="151"/>
      <c r="N10" s="151"/>
      <c r="O10" s="162"/>
      <c r="P10" s="151"/>
      <c r="Q10" s="151"/>
      <c r="R10" s="165"/>
      <c r="S10" s="166"/>
      <c r="T10" s="164">
        <f>ROUND(B10*$O$9,2)</f>
        <v>10228558.23</v>
      </c>
      <c r="AB10" s="104"/>
    </row>
    <row r="11" spans="1:28" ht="21.6" thickBot="1">
      <c r="A11" s="203"/>
      <c r="B11" s="139">
        <f>SUM(B9:B10)</f>
        <v>599760000</v>
      </c>
      <c r="C11" s="130"/>
      <c r="D11" s="153"/>
      <c r="E11" s="153"/>
      <c r="F11" s="159"/>
      <c r="G11" s="159"/>
      <c r="H11" s="160"/>
      <c r="I11" s="153"/>
      <c r="J11" s="161"/>
      <c r="K11" s="161"/>
      <c r="L11" s="104"/>
      <c r="M11" s="104"/>
      <c r="N11" s="151"/>
      <c r="O11" s="167"/>
      <c r="P11" s="104"/>
      <c r="Q11" s="151"/>
      <c r="R11" s="165"/>
      <c r="S11" s="166"/>
      <c r="T11" s="164"/>
      <c r="AB11" s="104"/>
    </row>
    <row r="12" spans="1:28" ht="21.6" thickTop="1">
      <c r="A12" s="203"/>
      <c r="B12" s="168"/>
      <c r="C12" s="126"/>
      <c r="D12" s="153"/>
      <c r="E12" s="153"/>
      <c r="F12" s="153"/>
      <c r="G12" s="153"/>
      <c r="H12" s="161"/>
      <c r="I12" s="153"/>
      <c r="J12" s="153"/>
      <c r="K12" s="161"/>
      <c r="L12" s="153"/>
      <c r="M12" s="153"/>
      <c r="N12" s="161"/>
      <c r="O12" s="169"/>
      <c r="P12" s="153"/>
      <c r="Q12" s="161"/>
      <c r="R12" s="165"/>
      <c r="S12" s="166"/>
      <c r="T12" s="164"/>
      <c r="AB12" s="153"/>
    </row>
    <row r="13" spans="1:28" ht="21">
      <c r="A13" s="204"/>
      <c r="B13" s="170"/>
      <c r="C13" s="171"/>
      <c r="D13" s="172"/>
      <c r="E13" s="172"/>
      <c r="F13" s="172"/>
      <c r="G13" s="172"/>
      <c r="H13" s="173"/>
      <c r="I13" s="172"/>
      <c r="J13" s="153"/>
      <c r="K13" s="161"/>
      <c r="L13" s="172"/>
      <c r="M13" s="172"/>
      <c r="N13" s="173"/>
      <c r="O13" s="174"/>
      <c r="P13" s="172"/>
      <c r="Q13" s="173"/>
      <c r="T13" s="164"/>
      <c r="AB13" s="172"/>
    </row>
    <row r="14" spans="1:28" ht="21">
      <c r="A14" s="204"/>
      <c r="B14" s="175"/>
      <c r="C14" s="176"/>
      <c r="D14" s="144"/>
      <c r="E14" s="144"/>
      <c r="F14" s="144"/>
      <c r="G14" s="144"/>
      <c r="H14" s="177"/>
      <c r="I14" s="144"/>
      <c r="J14" s="172"/>
      <c r="K14" s="173"/>
      <c r="L14" s="144"/>
      <c r="M14" s="144"/>
      <c r="N14" s="177"/>
      <c r="O14" s="178"/>
      <c r="P14" s="144"/>
      <c r="Q14" s="177"/>
      <c r="R14" s="144"/>
      <c r="S14" s="177"/>
      <c r="T14" s="179"/>
      <c r="U14" s="144"/>
      <c r="AB14" s="144"/>
    </row>
    <row r="15" spans="1:28" ht="21">
      <c r="A15" s="205" t="s">
        <v>2</v>
      </c>
      <c r="B15" s="180"/>
      <c r="C15" s="181"/>
      <c r="D15" s="144"/>
      <c r="E15" s="144"/>
      <c r="F15" s="144"/>
      <c r="G15" s="144"/>
      <c r="H15" s="177"/>
      <c r="I15" s="144"/>
      <c r="J15" s="144"/>
      <c r="K15" s="177"/>
      <c r="L15" s="144"/>
      <c r="M15" s="144"/>
      <c r="N15" s="177"/>
      <c r="O15" s="178"/>
      <c r="P15" s="144"/>
      <c r="Q15" s="177"/>
      <c r="R15" s="144"/>
      <c r="S15" s="177"/>
      <c r="T15" s="182"/>
      <c r="U15" s="144"/>
      <c r="AB15" s="144"/>
    </row>
    <row r="16" spans="1:28" ht="21">
      <c r="A16" s="202" t="s">
        <v>28</v>
      </c>
      <c r="B16" s="123">
        <f>B4-B9</f>
        <v>5113971</v>
      </c>
      <c r="C16" s="183"/>
      <c r="D16" s="144"/>
      <c r="E16" s="144"/>
      <c r="F16" s="144"/>
      <c r="G16" s="144"/>
      <c r="H16" s="177"/>
      <c r="I16" s="144"/>
      <c r="J16" s="144"/>
      <c r="K16" s="177"/>
      <c r="L16" s="144"/>
      <c r="M16" s="144"/>
      <c r="N16" s="177"/>
      <c r="O16" s="178">
        <v>0.021806</v>
      </c>
      <c r="P16" s="144"/>
      <c r="Q16" s="177"/>
      <c r="R16" s="144"/>
      <c r="S16" s="177"/>
      <c r="T16" s="184">
        <f>ROUND(B16*$O$16,2)+0.01</f>
        <v>111515.26</v>
      </c>
      <c r="U16" s="144"/>
      <c r="AB16" s="144"/>
    </row>
    <row r="17" spans="1:28" ht="21">
      <c r="A17" s="202" t="s">
        <v>29</v>
      </c>
      <c r="B17" s="123">
        <f>B5-B10</f>
        <v>-1411756</v>
      </c>
      <c r="C17" s="183"/>
      <c r="D17" s="144"/>
      <c r="E17" s="144"/>
      <c r="F17" s="144"/>
      <c r="G17" s="144"/>
      <c r="H17" s="177"/>
      <c r="I17" s="144"/>
      <c r="J17" s="144"/>
      <c r="K17" s="177"/>
      <c r="L17" s="144"/>
      <c r="M17" s="144"/>
      <c r="N17" s="177"/>
      <c r="O17" s="178"/>
      <c r="P17" s="144"/>
      <c r="Q17" s="177"/>
      <c r="R17" s="144"/>
      <c r="S17" s="177"/>
      <c r="T17" s="184">
        <f>ROUND(B17*$O$16,2)+0.01</f>
        <v>-30784.74</v>
      </c>
      <c r="U17" s="144"/>
      <c r="AB17" s="144"/>
    </row>
    <row r="18" spans="1:28" ht="21.6" thickBot="1">
      <c r="A18" s="203"/>
      <c r="B18" s="139">
        <f>SUM(B16:B17)</f>
        <v>3702215</v>
      </c>
      <c r="C18" s="131"/>
      <c r="D18" s="144"/>
      <c r="E18" s="144"/>
      <c r="F18" s="144"/>
      <c r="G18" s="144"/>
      <c r="H18" s="177"/>
      <c r="I18" s="144"/>
      <c r="J18" s="144"/>
      <c r="K18" s="177"/>
      <c r="L18" s="144"/>
      <c r="M18" s="144"/>
      <c r="N18" s="177"/>
      <c r="O18" s="178"/>
      <c r="P18" s="144"/>
      <c r="Q18" s="177"/>
      <c r="R18" s="144"/>
      <c r="S18" s="177"/>
      <c r="T18" s="182"/>
      <c r="U18" s="144"/>
      <c r="AB18" s="144"/>
    </row>
    <row r="19" spans="1:28" ht="21.6" thickTop="1">
      <c r="A19" s="204"/>
      <c r="B19" s="185"/>
      <c r="C19" s="185"/>
      <c r="D19" s="144"/>
      <c r="E19" s="144"/>
      <c r="F19" s="144"/>
      <c r="G19" s="144"/>
      <c r="H19" s="177"/>
      <c r="I19" s="144"/>
      <c r="J19" s="144"/>
      <c r="K19" s="177"/>
      <c r="L19" s="144"/>
      <c r="M19" s="144"/>
      <c r="N19" s="177"/>
      <c r="O19" s="144"/>
      <c r="P19" s="144"/>
      <c r="Q19" s="177"/>
      <c r="R19" s="144"/>
      <c r="S19" s="177"/>
      <c r="T19" s="182"/>
      <c r="U19" s="144"/>
      <c r="AB19" s="144"/>
    </row>
    <row r="20" spans="1:28" ht="21">
      <c r="A20" s="204"/>
      <c r="B20" s="144"/>
      <c r="C20" s="144"/>
      <c r="D20" s="144"/>
      <c r="E20" s="144"/>
      <c r="F20" s="144"/>
      <c r="G20" s="144"/>
      <c r="H20" s="177"/>
      <c r="I20" s="144"/>
      <c r="J20" s="144"/>
      <c r="K20" s="177"/>
      <c r="L20" s="144"/>
      <c r="M20" s="144"/>
      <c r="N20" s="177"/>
      <c r="O20" s="144"/>
      <c r="P20" s="144"/>
      <c r="Q20" s="177"/>
      <c r="T20" s="184"/>
      <c r="U20" s="144"/>
      <c r="AB20" s="144"/>
    </row>
    <row r="21" spans="1:28" s="112" customFormat="1" ht="14.25" customHeight="1">
      <c r="A21" s="201"/>
      <c r="B21" s="119"/>
      <c r="C21" s="119"/>
      <c r="D21" s="119"/>
      <c r="E21" s="119"/>
      <c r="F21" s="119"/>
      <c r="G21" s="153"/>
      <c r="H21" s="161"/>
      <c r="I21" s="119"/>
      <c r="J21" s="144"/>
      <c r="K21" s="177"/>
      <c r="L21" s="119"/>
      <c r="M21" s="119"/>
      <c r="N21" s="186"/>
      <c r="O21" s="119"/>
      <c r="P21" s="119"/>
      <c r="Q21" s="186"/>
      <c r="S21" s="102"/>
      <c r="T21" s="184"/>
      <c r="U21" s="119"/>
      <c r="AB21" s="119"/>
    </row>
    <row r="22" spans="1:28" s="112" customFormat="1" ht="48" customHeight="1">
      <c r="A22" s="201"/>
      <c r="B22" s="119"/>
      <c r="C22" s="208" t="s">
        <v>3</v>
      </c>
      <c r="D22" s="208" t="s">
        <v>4</v>
      </c>
      <c r="E22" s="208" t="s">
        <v>6</v>
      </c>
      <c r="F22" s="241" t="s">
        <v>19</v>
      </c>
      <c r="H22" s="161"/>
      <c r="I22" s="119"/>
      <c r="J22" s="119"/>
      <c r="K22" s="186"/>
      <c r="L22" s="119"/>
      <c r="M22" s="119"/>
      <c r="N22" s="186"/>
      <c r="O22" s="119"/>
      <c r="P22" s="119"/>
      <c r="Q22" s="186"/>
      <c r="S22" s="102"/>
      <c r="T22" s="184"/>
      <c r="U22" s="119"/>
      <c r="AB22" s="119"/>
    </row>
    <row r="23" spans="1:28" s="112" customFormat="1" ht="23.25" customHeight="1">
      <c r="A23" s="202" t="s">
        <v>28</v>
      </c>
      <c r="B23" s="188"/>
      <c r="C23" s="179">
        <v>1020014.18</v>
      </c>
      <c r="D23" s="182">
        <v>0</v>
      </c>
      <c r="E23" s="179">
        <v>20173.1</v>
      </c>
      <c r="F23" s="182">
        <v>0</v>
      </c>
      <c r="H23" s="189"/>
      <c r="I23" s="188"/>
      <c r="J23" s="119"/>
      <c r="K23" s="186"/>
      <c r="L23" s="188"/>
      <c r="M23" s="188"/>
      <c r="N23" s="190"/>
      <c r="O23" s="188"/>
      <c r="P23" s="188"/>
      <c r="Q23" s="190"/>
      <c r="S23" s="102"/>
      <c r="T23" s="184">
        <f>C23+D23+E23+F23</f>
        <v>1040187.28</v>
      </c>
      <c r="U23" s="119"/>
      <c r="AB23" s="119"/>
    </row>
    <row r="24" spans="1:28" s="112" customFormat="1" ht="21">
      <c r="A24" s="202" t="s">
        <v>29</v>
      </c>
      <c r="B24" s="188"/>
      <c r="C24" s="179">
        <v>778766.02</v>
      </c>
      <c r="D24" s="182">
        <v>-55164.56</v>
      </c>
      <c r="E24" s="179">
        <v>12421.43</v>
      </c>
      <c r="F24" s="182">
        <v>0</v>
      </c>
      <c r="H24" s="189"/>
      <c r="I24" s="188"/>
      <c r="J24" s="188"/>
      <c r="K24" s="190"/>
      <c r="L24" s="188"/>
      <c r="M24" s="188"/>
      <c r="N24" s="190"/>
      <c r="O24" s="188"/>
      <c r="P24" s="188"/>
      <c r="Q24" s="190"/>
      <c r="S24" s="102"/>
      <c r="T24" s="184">
        <f>C24+D24+E24+F24</f>
        <v>736022.89</v>
      </c>
      <c r="U24" s="119"/>
      <c r="AB24" s="119"/>
    </row>
    <row r="25" spans="1:28" s="112" customFormat="1" ht="21.6" thickBot="1">
      <c r="A25" s="201"/>
      <c r="B25" s="188"/>
      <c r="C25" s="191">
        <f>SUM(C23:C24)</f>
        <v>1798780.2000000002</v>
      </c>
      <c r="D25" s="192">
        <f>SUM(D23:D24)</f>
        <v>-55164.56</v>
      </c>
      <c r="E25" s="191">
        <f>SUM(E23:E24)</f>
        <v>32594.53</v>
      </c>
      <c r="F25" s="192">
        <f>SUM(F23:F24)</f>
        <v>0</v>
      </c>
      <c r="H25" s="189"/>
      <c r="I25" s="188"/>
      <c r="J25" s="188"/>
      <c r="K25" s="190"/>
      <c r="L25" s="188"/>
      <c r="M25" s="188"/>
      <c r="N25" s="190"/>
      <c r="O25" s="188"/>
      <c r="P25" s="188"/>
      <c r="Q25" s="190"/>
      <c r="S25" s="102"/>
      <c r="T25" s="164"/>
      <c r="U25" s="119"/>
      <c r="AB25" s="119"/>
    </row>
    <row r="26" spans="1:28" s="112" customFormat="1" ht="21.6" thickTop="1">
      <c r="A26" s="202" t="s">
        <v>28</v>
      </c>
      <c r="B26" s="188"/>
      <c r="C26" s="188"/>
      <c r="D26" s="179"/>
      <c r="E26" s="179"/>
      <c r="F26" s="179"/>
      <c r="G26" s="179"/>
      <c r="H26" s="190"/>
      <c r="I26" s="188"/>
      <c r="J26" s="188"/>
      <c r="K26" s="190"/>
      <c r="L26" s="188"/>
      <c r="M26" s="188"/>
      <c r="N26" s="190"/>
      <c r="O26" s="188"/>
      <c r="P26" s="188"/>
      <c r="Q26" s="190"/>
      <c r="S26" s="102"/>
      <c r="T26" s="164">
        <f>T4+T9+T23+T16</f>
        <v>16854556.04</v>
      </c>
      <c r="U26" s="119"/>
      <c r="AB26" s="119"/>
    </row>
    <row r="27" spans="1:28" s="112" customFormat="1" ht="21">
      <c r="A27" s="202" t="s">
        <v>29</v>
      </c>
      <c r="B27" s="188"/>
      <c r="C27" s="188"/>
      <c r="D27" s="188"/>
      <c r="E27" s="188"/>
      <c r="F27" s="188"/>
      <c r="G27" s="188"/>
      <c r="H27" s="190"/>
      <c r="I27" s="188"/>
      <c r="J27" s="188"/>
      <c r="K27" s="190"/>
      <c r="L27" s="188"/>
      <c r="M27" s="188"/>
      <c r="N27" s="190"/>
      <c r="O27" s="188"/>
      <c r="P27" s="188"/>
      <c r="Q27" s="190"/>
      <c r="S27" s="102"/>
      <c r="T27" s="193">
        <f>T5+T10+T24+T17</f>
        <v>12668484.23</v>
      </c>
      <c r="U27" s="119"/>
      <c r="AB27" s="119"/>
    </row>
    <row r="28" spans="1:28" s="112" customFormat="1" ht="21">
      <c r="A28" s="201" t="s">
        <v>5</v>
      </c>
      <c r="B28" s="188"/>
      <c r="C28" s="188"/>
      <c r="D28" s="188"/>
      <c r="E28" s="188"/>
      <c r="F28" s="188"/>
      <c r="G28" s="188"/>
      <c r="H28" s="190"/>
      <c r="I28" s="188"/>
      <c r="J28" s="188"/>
      <c r="K28" s="190"/>
      <c r="L28" s="188"/>
      <c r="M28" s="188"/>
      <c r="N28" s="190"/>
      <c r="O28" s="188"/>
      <c r="P28" s="188"/>
      <c r="Q28" s="190"/>
      <c r="R28" s="194"/>
      <c r="S28" s="111"/>
      <c r="T28" s="164">
        <f>SUM(T26:T27)</f>
        <v>29523040.27</v>
      </c>
      <c r="U28" s="119"/>
      <c r="AB28" s="119"/>
    </row>
    <row r="29" spans="1:28" s="112" customFormat="1" ht="27.75" customHeight="1">
      <c r="A29" s="201"/>
      <c r="B29" s="188"/>
      <c r="C29" s="188"/>
      <c r="D29" s="188"/>
      <c r="E29" s="188"/>
      <c r="F29" s="188"/>
      <c r="G29" s="188"/>
      <c r="H29" s="190"/>
      <c r="I29" s="188"/>
      <c r="J29" s="188"/>
      <c r="K29" s="190"/>
      <c r="L29" s="188"/>
      <c r="M29" s="188"/>
      <c r="N29" s="190"/>
      <c r="O29" s="188"/>
      <c r="P29" s="188"/>
      <c r="Q29" s="190"/>
      <c r="R29" s="194"/>
      <c r="S29" s="111"/>
      <c r="T29" s="164"/>
      <c r="U29" s="119"/>
      <c r="AB29" s="119"/>
    </row>
    <row r="30" spans="1:28" s="112" customFormat="1" ht="42.75" customHeight="1" thickBot="1">
      <c r="A30" s="206" t="s">
        <v>11</v>
      </c>
      <c r="B30" s="188"/>
      <c r="C30" s="188"/>
      <c r="D30" s="188"/>
      <c r="E30" s="188"/>
      <c r="F30" s="188"/>
      <c r="G30" s="188"/>
      <c r="H30" s="190"/>
      <c r="I30" s="188"/>
      <c r="J30" s="188"/>
      <c r="K30" s="190"/>
      <c r="L30" s="188"/>
      <c r="M30" s="188"/>
      <c r="N30" s="190"/>
      <c r="O30" s="188"/>
      <c r="P30" s="188"/>
      <c r="Q30" s="190"/>
      <c r="S30" s="102"/>
      <c r="T30" s="195">
        <f>SUM(T28:T29)</f>
        <v>29523040.27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K31" s="102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K32" s="102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4.6">
      <c r="B33" s="188"/>
      <c r="C33" s="188"/>
      <c r="D33" s="196"/>
      <c r="E33" s="197"/>
      <c r="F33" s="197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R33" s="119"/>
      <c r="S33" s="186"/>
      <c r="T33" s="119"/>
      <c r="U33" s="119"/>
      <c r="AB33" s="119"/>
    </row>
    <row r="34" spans="2:28" s="112" customFormat="1" ht="24.6">
      <c r="B34" s="188"/>
      <c r="C34" s="188"/>
      <c r="D34" s="196"/>
      <c r="E34" s="197"/>
      <c r="F34" s="197"/>
      <c r="G34" s="188"/>
      <c r="H34" s="190"/>
      <c r="I34" s="188"/>
      <c r="J34" s="188"/>
      <c r="K34" s="190"/>
      <c r="L34" s="188"/>
      <c r="M34" s="188"/>
      <c r="N34" s="190"/>
      <c r="O34" s="188"/>
      <c r="P34" s="188"/>
      <c r="Q34" s="190"/>
      <c r="R34" s="119"/>
      <c r="S34" s="186"/>
      <c r="T34" s="119"/>
      <c r="U34" s="119"/>
      <c r="AB34" s="119"/>
    </row>
    <row r="35" spans="2:28" s="112" customFormat="1" ht="15.6">
      <c r="B35" s="188"/>
      <c r="C35" s="188"/>
      <c r="D35" s="188"/>
      <c r="E35" s="188"/>
      <c r="F35" s="188"/>
      <c r="G35" s="188"/>
      <c r="H35" s="190"/>
      <c r="I35" s="188"/>
      <c r="J35" s="188"/>
      <c r="K35" s="190"/>
      <c r="L35" s="188"/>
      <c r="M35" s="188"/>
      <c r="N35" s="190"/>
      <c r="O35" s="188"/>
      <c r="P35" s="188"/>
      <c r="Q35" s="190"/>
      <c r="R35" s="119"/>
      <c r="S35" s="186"/>
      <c r="T35" s="119"/>
      <c r="U35" s="119"/>
      <c r="AB35" s="119"/>
    </row>
    <row r="36" spans="2:28" s="112" customFormat="1" ht="15.6">
      <c r="B36" s="188"/>
      <c r="C36" s="188"/>
      <c r="D36" s="188"/>
      <c r="E36" s="188"/>
      <c r="F36" s="188"/>
      <c r="G36" s="188"/>
      <c r="H36" s="190"/>
      <c r="I36" s="188"/>
      <c r="J36" s="188"/>
      <c r="K36" s="190"/>
      <c r="L36" s="188"/>
      <c r="M36" s="188"/>
      <c r="N36" s="190"/>
      <c r="O36" s="188"/>
      <c r="P36" s="188"/>
      <c r="Q36" s="190"/>
      <c r="R36" s="119"/>
      <c r="S36" s="186"/>
      <c r="T36" s="119"/>
      <c r="U36" s="119"/>
      <c r="AB36" s="119"/>
    </row>
    <row r="37" spans="2:28" s="112" customFormat="1" ht="15.6">
      <c r="B37" s="188"/>
      <c r="C37" s="188"/>
      <c r="D37" s="188"/>
      <c r="E37" s="188"/>
      <c r="F37" s="188"/>
      <c r="G37" s="188"/>
      <c r="H37" s="190"/>
      <c r="I37" s="188"/>
      <c r="J37" s="188"/>
      <c r="K37" s="190"/>
      <c r="L37" s="188"/>
      <c r="M37" s="188"/>
      <c r="N37" s="190"/>
      <c r="O37" s="188"/>
      <c r="P37" s="188"/>
      <c r="Q37" s="190"/>
      <c r="R37" s="119"/>
      <c r="S37" s="186"/>
      <c r="T37" s="119"/>
      <c r="U37" s="119"/>
      <c r="AB37" s="119"/>
    </row>
    <row r="38" spans="2:28" s="112" customFormat="1" ht="21">
      <c r="B38" s="188"/>
      <c r="C38" s="188"/>
      <c r="D38" s="198"/>
      <c r="E38" s="188"/>
      <c r="F38" s="188"/>
      <c r="G38" s="188"/>
      <c r="H38" s="190"/>
      <c r="I38" s="188"/>
      <c r="J38" s="188"/>
      <c r="K38" s="190"/>
      <c r="L38" s="188"/>
      <c r="M38" s="188"/>
      <c r="N38" s="190"/>
      <c r="O38" s="188"/>
      <c r="P38" s="188"/>
      <c r="Q38" s="190"/>
      <c r="S38" s="102"/>
      <c r="T38" s="126"/>
      <c r="U38" s="119"/>
      <c r="AB38" s="119"/>
    </row>
    <row r="39" spans="4:20" s="112" customFormat="1" ht="21">
      <c r="D39" s="198"/>
      <c r="H39" s="102"/>
      <c r="J39" s="188"/>
      <c r="K39" s="190"/>
      <c r="N39" s="102"/>
      <c r="Q39" s="102"/>
      <c r="S39" s="102"/>
      <c r="T39" s="129"/>
    </row>
    <row r="40" spans="8:20" s="112" customFormat="1" ht="22.8">
      <c r="H40" s="102"/>
      <c r="J40" s="188"/>
      <c r="K40" s="190"/>
      <c r="N40" s="102"/>
      <c r="Q40" s="102"/>
      <c r="S40" s="102"/>
      <c r="T40" s="199"/>
    </row>
    <row r="41" spans="10:20" ht="17.4">
      <c r="J41" s="112"/>
      <c r="K41" s="102"/>
      <c r="T41" s="200"/>
    </row>
    <row r="42" spans="10:20" ht="15.6">
      <c r="J42" s="112"/>
      <c r="K42" s="102"/>
      <c r="T42" s="153"/>
    </row>
    <row r="43" ht="15.6">
      <c r="T43" s="153"/>
    </row>
    <row r="44" spans="18:19" ht="15.6">
      <c r="R44" s="172"/>
      <c r="S44" s="173"/>
    </row>
    <row r="45" spans="18:20" ht="12.75">
      <c r="R45" s="144"/>
      <c r="S45" s="177"/>
      <c r="T45" s="144"/>
    </row>
    <row r="46" spans="18:20" ht="12.75">
      <c r="R46" s="144"/>
      <c r="S46" s="177"/>
      <c r="T46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2" horizontalDpi="600" verticalDpi="600" orientation="landscape" scale="46" r:id="rId1"/>
  <headerFooter>
    <oddHeader>&amp;C&amp;"Century Schoolbook,Bold"&amp;16Big Rivers Electric Corporation
Case No. 2012-00nnn
Revenue Summary - Smelters
Base Period September 2012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41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48.140625" style="98" customWidth="1"/>
    <col min="2" max="2" width="27.8515625" style="98" customWidth="1"/>
    <col min="3" max="3" width="28.140625" style="98" customWidth="1"/>
    <col min="4" max="4" width="25.00390625" style="98" bestFit="1" customWidth="1"/>
    <col min="5" max="5" width="24.8515625" style="98" customWidth="1"/>
    <col min="6" max="6" width="29.421875" style="98" customWidth="1"/>
    <col min="7" max="7" width="23.8515625" style="98" customWidth="1"/>
    <col min="8" max="8" width="3.421875" style="99" customWidth="1"/>
    <col min="9" max="9" width="22.00390625" style="98" customWidth="1"/>
    <col min="10" max="10" width="14.57421875" style="98" customWidth="1"/>
    <col min="11" max="11" width="3.00390625" style="99" customWidth="1"/>
    <col min="12" max="12" width="21.00390625" style="98" customWidth="1"/>
    <col min="13" max="13" width="11.57421875" style="98" bestFit="1" customWidth="1"/>
    <col min="14" max="14" width="3.28125" style="99" customWidth="1"/>
    <col min="15" max="15" width="21.28125" style="98" customWidth="1"/>
    <col min="16" max="16" width="15.57421875" style="98" customWidth="1"/>
    <col min="17" max="17" width="2.8515625" style="99" customWidth="1"/>
    <col min="18" max="18" width="22.7109375" style="98" bestFit="1" customWidth="1"/>
    <col min="19" max="19" width="2.421875" style="99" customWidth="1"/>
    <col min="20" max="21" width="22.57421875" style="98" customWidth="1"/>
    <col min="22" max="23" width="11.00390625" style="98" customWidth="1"/>
    <col min="24" max="24" width="14.00390625" style="98" bestFit="1" customWidth="1"/>
    <col min="25" max="25" width="17.421875" style="98" customWidth="1"/>
    <col min="26" max="27" width="11.00390625" style="98" customWidth="1"/>
    <col min="28" max="28" width="15.140625" style="98" customWidth="1"/>
    <col min="29" max="16384" width="11.00390625" style="98" customWidth="1"/>
  </cols>
  <sheetData>
    <row r="1" spans="1:28" ht="36.75" customHeight="1">
      <c r="A1" s="238" t="s">
        <v>26</v>
      </c>
      <c r="C1" s="471" t="s">
        <v>20</v>
      </c>
      <c r="D1" s="466" t="s">
        <v>10</v>
      </c>
      <c r="E1" s="466" t="s">
        <v>8</v>
      </c>
      <c r="F1" s="466" t="s">
        <v>7</v>
      </c>
      <c r="G1" s="466" t="s">
        <v>9</v>
      </c>
      <c r="H1" s="212"/>
      <c r="I1" s="213">
        <v>0.003313</v>
      </c>
      <c r="J1" s="214"/>
      <c r="K1" s="215"/>
      <c r="L1" s="213">
        <v>0.055415</v>
      </c>
      <c r="M1" s="216"/>
      <c r="N1" s="216"/>
      <c r="O1" s="217">
        <v>-0.00037</v>
      </c>
      <c r="P1" s="244"/>
      <c r="Q1" s="244"/>
      <c r="R1" s="212"/>
      <c r="S1" s="212"/>
      <c r="T1" s="466" t="s">
        <v>13</v>
      </c>
      <c r="AB1" s="102"/>
    </row>
    <row r="2" spans="2:28" ht="36.75" customHeight="1">
      <c r="B2" s="243"/>
      <c r="C2" s="472"/>
      <c r="D2" s="474"/>
      <c r="E2" s="474"/>
      <c r="F2" s="467"/>
      <c r="G2" s="474"/>
      <c r="H2" s="212"/>
      <c r="I2" s="469" t="s">
        <v>16</v>
      </c>
      <c r="J2" s="470"/>
      <c r="K2" s="218"/>
      <c r="L2" s="469" t="s">
        <v>17</v>
      </c>
      <c r="M2" s="470"/>
      <c r="N2" s="218"/>
      <c r="O2" s="469" t="s">
        <v>18</v>
      </c>
      <c r="P2" s="470"/>
      <c r="Q2" s="218"/>
      <c r="R2" s="219"/>
      <c r="S2" s="212"/>
      <c r="T2" s="467"/>
      <c r="AB2" s="102"/>
    </row>
    <row r="3" spans="1:28" s="121" customFormat="1" ht="44.25" customHeight="1">
      <c r="A3" s="201" t="s">
        <v>0</v>
      </c>
      <c r="B3" s="221"/>
      <c r="C3" s="473"/>
      <c r="D3" s="475"/>
      <c r="E3" s="475"/>
      <c r="F3" s="468"/>
      <c r="G3" s="475"/>
      <c r="H3" s="222"/>
      <c r="I3" s="223" t="s">
        <v>14</v>
      </c>
      <c r="J3" s="224" t="s">
        <v>15</v>
      </c>
      <c r="K3" s="222"/>
      <c r="L3" s="223" t="s">
        <v>14</v>
      </c>
      <c r="M3" s="224" t="s">
        <v>15</v>
      </c>
      <c r="N3" s="222"/>
      <c r="O3" s="223" t="s">
        <v>14</v>
      </c>
      <c r="P3" s="224" t="s">
        <v>15</v>
      </c>
      <c r="Q3" s="222"/>
      <c r="R3" s="225" t="s">
        <v>12</v>
      </c>
      <c r="S3" s="226"/>
      <c r="T3" s="468"/>
      <c r="U3" s="119"/>
      <c r="V3" s="112"/>
      <c r="W3" s="112"/>
      <c r="X3" s="112"/>
      <c r="Y3" s="120"/>
      <c r="AB3" s="122"/>
    </row>
    <row r="4" spans="1:28" s="121" customFormat="1" ht="27.75" customHeight="1">
      <c r="A4" s="202" t="s">
        <v>28</v>
      </c>
      <c r="B4" s="227">
        <v>355937568</v>
      </c>
      <c r="C4" s="228">
        <v>0</v>
      </c>
      <c r="D4" s="235">
        <v>593069</v>
      </c>
      <c r="E4" s="235">
        <v>0</v>
      </c>
      <c r="F4" s="125">
        <f>SUM(B4:E4)</f>
        <v>356530637</v>
      </c>
      <c r="G4" s="236">
        <v>49.13674765066543</v>
      </c>
      <c r="H4" s="237"/>
      <c r="I4" s="229">
        <v>1179221.16</v>
      </c>
      <c r="J4" s="236">
        <v>3.3129999921784035</v>
      </c>
      <c r="K4" s="230"/>
      <c r="L4" s="231">
        <v>830096.34</v>
      </c>
      <c r="M4" s="236">
        <v>2.33214028141025</v>
      </c>
      <c r="N4" s="230"/>
      <c r="O4" s="232">
        <v>-131696.9</v>
      </c>
      <c r="P4" s="233">
        <v>-0.36999999955048296</v>
      </c>
      <c r="Q4" s="247"/>
      <c r="R4" s="231">
        <v>653271.01</v>
      </c>
      <c r="S4" s="231"/>
      <c r="T4" s="248">
        <v>2530891.61</v>
      </c>
      <c r="U4" s="119"/>
      <c r="V4" s="112"/>
      <c r="W4" s="112"/>
      <c r="X4" s="112"/>
      <c r="Y4" s="120"/>
      <c r="AB4" s="122"/>
    </row>
    <row r="5" spans="1:28" s="121" customFormat="1" ht="21">
      <c r="A5" s="202" t="s">
        <v>29</v>
      </c>
      <c r="B5" s="249">
        <v>268666846</v>
      </c>
      <c r="C5" s="250">
        <v>0</v>
      </c>
      <c r="D5" s="251">
        <v>175394</v>
      </c>
      <c r="E5" s="251">
        <v>0</v>
      </c>
      <c r="F5" s="137">
        <f>SUM(B5:E5)</f>
        <v>268842240</v>
      </c>
      <c r="G5" s="236">
        <v>49.42464015327353</v>
      </c>
      <c r="H5" s="237"/>
      <c r="I5" s="229">
        <v>890093.26</v>
      </c>
      <c r="J5" s="236">
        <v>3.3129999970297788</v>
      </c>
      <c r="K5" s="230"/>
      <c r="L5" s="231">
        <v>626568.77</v>
      </c>
      <c r="M5" s="236">
        <v>2.332140267132179</v>
      </c>
      <c r="N5" s="230"/>
      <c r="O5" s="232">
        <v>-99406.73</v>
      </c>
      <c r="P5" s="233">
        <v>-0.36999998875931267</v>
      </c>
      <c r="Q5" s="247"/>
      <c r="R5" s="252">
        <v>498764.39</v>
      </c>
      <c r="S5" s="231"/>
      <c r="T5" s="248">
        <v>1916019.69</v>
      </c>
      <c r="U5" s="119"/>
      <c r="V5" s="112"/>
      <c r="W5" s="112"/>
      <c r="X5" s="112"/>
      <c r="Y5" s="120"/>
      <c r="AB5" s="122"/>
    </row>
    <row r="6" spans="1:28" s="121" customFormat="1" ht="21.6" thickBot="1">
      <c r="A6" s="203"/>
      <c r="B6" s="253">
        <v>624604414</v>
      </c>
      <c r="C6" s="253">
        <v>0</v>
      </c>
      <c r="D6" s="254">
        <v>768463</v>
      </c>
      <c r="E6" s="254">
        <v>0</v>
      </c>
      <c r="F6" s="254">
        <v>625372877</v>
      </c>
      <c r="G6" s="245"/>
      <c r="H6" s="246"/>
      <c r="I6" s="255">
        <v>2069314.42</v>
      </c>
      <c r="J6" s="231"/>
      <c r="K6" s="231"/>
      <c r="L6" s="255">
        <v>1456665.1099999999</v>
      </c>
      <c r="M6" s="231"/>
      <c r="N6" s="231"/>
      <c r="O6" s="256">
        <v>-231103.63</v>
      </c>
      <c r="P6" s="231"/>
      <c r="Q6" s="231"/>
      <c r="R6" s="255">
        <v>1152035.4</v>
      </c>
      <c r="S6" s="231"/>
      <c r="T6" s="257">
        <v>4446911.3</v>
      </c>
      <c r="U6" s="144"/>
      <c r="V6" s="98"/>
      <c r="W6" s="98"/>
      <c r="X6" s="98"/>
      <c r="AB6" s="145"/>
    </row>
    <row r="7" spans="1:28" s="121" customFormat="1" ht="21" thickTop="1">
      <c r="A7" s="204"/>
      <c r="B7" s="258"/>
      <c r="C7" s="259"/>
      <c r="D7" s="260"/>
      <c r="E7" s="260"/>
      <c r="F7" s="260"/>
      <c r="G7" s="261"/>
      <c r="H7" s="262"/>
      <c r="I7" s="246"/>
      <c r="J7" s="246"/>
      <c r="K7" s="246"/>
      <c r="L7" s="215"/>
      <c r="M7" s="263"/>
      <c r="N7" s="263"/>
      <c r="O7" s="237"/>
      <c r="P7" s="237"/>
      <c r="Q7" s="237"/>
      <c r="R7" s="263"/>
      <c r="S7" s="263"/>
      <c r="T7" s="264"/>
      <c r="U7" s="144"/>
      <c r="V7" s="98"/>
      <c r="W7" s="98"/>
      <c r="X7" s="98"/>
      <c r="AB7" s="104"/>
    </row>
    <row r="8" spans="1:28" s="121" customFormat="1" ht="17.4">
      <c r="A8" s="205" t="s">
        <v>1</v>
      </c>
      <c r="B8" s="266"/>
      <c r="C8" s="267"/>
      <c r="D8" s="265"/>
      <c r="E8" s="265"/>
      <c r="F8" s="268"/>
      <c r="G8" s="268"/>
      <c r="H8" s="269"/>
      <c r="I8" s="246"/>
      <c r="J8" s="263"/>
      <c r="K8" s="263"/>
      <c r="L8" s="263"/>
      <c r="M8" s="263"/>
      <c r="N8" s="263"/>
      <c r="O8" s="263"/>
      <c r="P8" s="263"/>
      <c r="Q8" s="263"/>
      <c r="R8" s="246"/>
      <c r="S8" s="246"/>
      <c r="T8" s="264"/>
      <c r="U8" s="144"/>
      <c r="V8" s="98"/>
      <c r="W8" s="98"/>
      <c r="X8" s="98"/>
      <c r="AB8" s="104"/>
    </row>
    <row r="9" spans="1:28" ht="18" customHeight="1">
      <c r="A9" s="202" t="s">
        <v>28</v>
      </c>
      <c r="B9" s="227">
        <v>351435840</v>
      </c>
      <c r="C9" s="270"/>
      <c r="D9" s="265"/>
      <c r="E9" s="265"/>
      <c r="F9" s="271"/>
      <c r="G9" s="271"/>
      <c r="H9" s="272"/>
      <c r="I9" s="246"/>
      <c r="J9" s="273"/>
      <c r="K9" s="273"/>
      <c r="L9" s="263"/>
      <c r="M9" s="263"/>
      <c r="N9" s="263"/>
      <c r="O9" s="274">
        <v>0.039392</v>
      </c>
      <c r="P9" s="263"/>
      <c r="Q9" s="263"/>
      <c r="R9" s="275"/>
      <c r="S9" s="275"/>
      <c r="T9" s="276">
        <v>13843760.61</v>
      </c>
      <c r="AB9" s="104"/>
    </row>
    <row r="10" spans="1:28" ht="21">
      <c r="A10" s="202" t="s">
        <v>29</v>
      </c>
      <c r="B10" s="227">
        <v>268316160</v>
      </c>
      <c r="C10" s="270"/>
      <c r="D10" s="265"/>
      <c r="E10" s="265"/>
      <c r="F10" s="271"/>
      <c r="G10" s="271"/>
      <c r="H10" s="272"/>
      <c r="I10" s="246"/>
      <c r="J10" s="273"/>
      <c r="K10" s="273"/>
      <c r="L10" s="263"/>
      <c r="M10" s="263"/>
      <c r="N10" s="263"/>
      <c r="O10" s="274">
        <v>0.039142</v>
      </c>
      <c r="P10" s="263"/>
      <c r="Q10" s="263"/>
      <c r="R10" s="277"/>
      <c r="S10" s="278"/>
      <c r="T10" s="276">
        <v>10569510.17</v>
      </c>
      <c r="AB10" s="104"/>
    </row>
    <row r="11" spans="1:28" ht="21.6" thickBot="1">
      <c r="A11" s="203"/>
      <c r="B11" s="253">
        <v>619752000</v>
      </c>
      <c r="C11" s="231"/>
      <c r="D11" s="265"/>
      <c r="E11" s="265"/>
      <c r="F11" s="271"/>
      <c r="G11" s="271"/>
      <c r="H11" s="272"/>
      <c r="I11" s="265"/>
      <c r="J11" s="273"/>
      <c r="K11" s="273"/>
      <c r="L11" s="214"/>
      <c r="M11" s="214"/>
      <c r="N11" s="263"/>
      <c r="O11" s="279"/>
      <c r="P11" s="214"/>
      <c r="Q11" s="263"/>
      <c r="R11" s="277"/>
      <c r="S11" s="278"/>
      <c r="T11" s="280">
        <v>13932108.29</v>
      </c>
      <c r="AB11" s="104"/>
    </row>
    <row r="12" spans="1:28" ht="21.6" thickTop="1">
      <c r="A12" s="203"/>
      <c r="B12" s="281"/>
      <c r="C12" s="236"/>
      <c r="D12" s="265"/>
      <c r="E12" s="265"/>
      <c r="F12" s="265"/>
      <c r="G12" s="265"/>
      <c r="H12" s="273"/>
      <c r="I12" s="265"/>
      <c r="J12" s="265"/>
      <c r="K12" s="273"/>
      <c r="L12" s="265"/>
      <c r="M12" s="265"/>
      <c r="N12" s="273"/>
      <c r="O12" s="282"/>
      <c r="P12" s="265"/>
      <c r="Q12" s="273"/>
      <c r="R12" s="277"/>
      <c r="S12" s="278"/>
      <c r="T12" s="276"/>
      <c r="AB12" s="153"/>
    </row>
    <row r="13" spans="1:28" ht="21">
      <c r="A13" s="204"/>
      <c r="B13" s="283"/>
      <c r="C13" s="284"/>
      <c r="D13" s="285"/>
      <c r="E13" s="285"/>
      <c r="F13" s="285"/>
      <c r="G13" s="285"/>
      <c r="H13" s="286"/>
      <c r="I13" s="285"/>
      <c r="J13" s="265"/>
      <c r="K13" s="273"/>
      <c r="L13" s="285"/>
      <c r="M13" s="285"/>
      <c r="N13" s="286"/>
      <c r="O13" s="287"/>
      <c r="P13" s="285"/>
      <c r="Q13" s="286"/>
      <c r="R13" s="245"/>
      <c r="S13" s="246"/>
      <c r="T13" s="276"/>
      <c r="AB13" s="172"/>
    </row>
    <row r="14" spans="1:28" ht="21">
      <c r="A14" s="204"/>
      <c r="B14" s="288"/>
      <c r="C14" s="289"/>
      <c r="D14" s="290"/>
      <c r="E14" s="290"/>
      <c r="F14" s="290"/>
      <c r="G14" s="290"/>
      <c r="H14" s="291"/>
      <c r="I14" s="290"/>
      <c r="J14" s="285"/>
      <c r="K14" s="286"/>
      <c r="L14" s="290"/>
      <c r="M14" s="290"/>
      <c r="N14" s="291"/>
      <c r="O14" s="292"/>
      <c r="P14" s="290"/>
      <c r="Q14" s="291"/>
      <c r="R14" s="290"/>
      <c r="S14" s="291"/>
      <c r="T14" s="293"/>
      <c r="U14" s="144"/>
      <c r="AB14" s="144"/>
    </row>
    <row r="15" spans="1:28" ht="21">
      <c r="A15" s="205" t="s">
        <v>2</v>
      </c>
      <c r="B15" s="294"/>
      <c r="C15" s="295"/>
      <c r="D15" s="290"/>
      <c r="E15" s="290"/>
      <c r="F15" s="290"/>
      <c r="G15" s="290"/>
      <c r="H15" s="291"/>
      <c r="I15" s="290"/>
      <c r="J15" s="290"/>
      <c r="K15" s="291"/>
      <c r="L15" s="290"/>
      <c r="M15" s="290"/>
      <c r="N15" s="291"/>
      <c r="O15" s="292"/>
      <c r="P15" s="290"/>
      <c r="Q15" s="291"/>
      <c r="R15" s="290"/>
      <c r="S15" s="291"/>
      <c r="T15" s="296"/>
      <c r="U15" s="144"/>
      <c r="AB15" s="144"/>
    </row>
    <row r="16" spans="1:28" ht="21">
      <c r="A16" s="202" t="s">
        <v>28</v>
      </c>
      <c r="B16" s="227">
        <v>4501728</v>
      </c>
      <c r="C16" s="297"/>
      <c r="D16" s="290"/>
      <c r="E16" s="290"/>
      <c r="F16" s="290"/>
      <c r="G16" s="290"/>
      <c r="H16" s="291"/>
      <c r="I16" s="290"/>
      <c r="J16" s="290"/>
      <c r="K16" s="291"/>
      <c r="L16" s="290"/>
      <c r="M16" s="290"/>
      <c r="N16" s="291"/>
      <c r="O16" s="292">
        <v>0.021806</v>
      </c>
      <c r="P16" s="290"/>
      <c r="Q16" s="291"/>
      <c r="R16" s="290"/>
      <c r="S16" s="291"/>
      <c r="T16" s="298">
        <v>98164.68</v>
      </c>
      <c r="U16" s="144"/>
      <c r="AB16" s="144"/>
    </row>
    <row r="17" spans="1:28" ht="21">
      <c r="A17" s="202" t="s">
        <v>29</v>
      </c>
      <c r="B17" s="227">
        <v>350686</v>
      </c>
      <c r="C17" s="297"/>
      <c r="D17" s="290"/>
      <c r="E17" s="290"/>
      <c r="F17" s="290"/>
      <c r="G17" s="290"/>
      <c r="H17" s="291"/>
      <c r="I17" s="290"/>
      <c r="J17" s="290"/>
      <c r="K17" s="291"/>
      <c r="L17" s="290"/>
      <c r="M17" s="290"/>
      <c r="N17" s="291"/>
      <c r="O17" s="292"/>
      <c r="P17" s="290"/>
      <c r="Q17" s="291"/>
      <c r="R17" s="290"/>
      <c r="S17" s="291"/>
      <c r="T17" s="298">
        <v>7647.070000000001</v>
      </c>
      <c r="U17" s="144"/>
      <c r="AB17" s="144"/>
    </row>
    <row r="18" spans="1:28" ht="21.6" thickBot="1">
      <c r="A18" s="203"/>
      <c r="B18" s="253">
        <v>4852414</v>
      </c>
      <c r="C18" s="232"/>
      <c r="D18" s="290"/>
      <c r="E18" s="290"/>
      <c r="F18" s="290"/>
      <c r="G18" s="290"/>
      <c r="H18" s="291"/>
      <c r="I18" s="290"/>
      <c r="J18" s="290"/>
      <c r="K18" s="291"/>
      <c r="L18" s="290"/>
      <c r="M18" s="290"/>
      <c r="N18" s="291"/>
      <c r="O18" s="292"/>
      <c r="P18" s="290"/>
      <c r="Q18" s="291"/>
      <c r="R18" s="290"/>
      <c r="S18" s="291"/>
      <c r="T18" s="296"/>
      <c r="U18" s="144"/>
      <c r="AB18" s="144"/>
    </row>
    <row r="19" spans="1:28" ht="21.6" thickTop="1">
      <c r="A19" s="204"/>
      <c r="B19" s="299"/>
      <c r="C19" s="299"/>
      <c r="D19" s="290"/>
      <c r="E19" s="290"/>
      <c r="F19" s="290"/>
      <c r="G19" s="290"/>
      <c r="H19" s="291"/>
      <c r="I19" s="290"/>
      <c r="J19" s="290"/>
      <c r="K19" s="291"/>
      <c r="L19" s="290"/>
      <c r="M19" s="290"/>
      <c r="N19" s="291"/>
      <c r="O19" s="290"/>
      <c r="P19" s="290"/>
      <c r="Q19" s="291"/>
      <c r="R19" s="290"/>
      <c r="S19" s="291"/>
      <c r="T19" s="296"/>
      <c r="U19" s="144"/>
      <c r="AB19" s="144"/>
    </row>
    <row r="20" spans="1:28" ht="21">
      <c r="A20" s="204"/>
      <c r="B20" s="290"/>
      <c r="C20" s="290"/>
      <c r="D20" s="290"/>
      <c r="E20" s="290"/>
      <c r="F20" s="290"/>
      <c r="G20" s="290"/>
      <c r="H20" s="291"/>
      <c r="I20" s="290"/>
      <c r="J20" s="290"/>
      <c r="K20" s="291"/>
      <c r="L20" s="290"/>
      <c r="M20" s="290"/>
      <c r="N20" s="291"/>
      <c r="O20" s="290"/>
      <c r="P20" s="290"/>
      <c r="Q20" s="291"/>
      <c r="R20" s="245"/>
      <c r="S20" s="246"/>
      <c r="T20" s="298"/>
      <c r="U20" s="144"/>
      <c r="AB20" s="144"/>
    </row>
    <row r="21" spans="1:28" s="112" customFormat="1" ht="14.25" customHeight="1">
      <c r="A21" s="201"/>
      <c r="B21" s="300"/>
      <c r="C21" s="300"/>
      <c r="D21" s="300"/>
      <c r="E21" s="300"/>
      <c r="F21" s="300"/>
      <c r="G21" s="265"/>
      <c r="H21" s="273"/>
      <c r="I21" s="300"/>
      <c r="J21" s="290"/>
      <c r="K21" s="291"/>
      <c r="L21" s="300"/>
      <c r="M21" s="300"/>
      <c r="N21" s="301"/>
      <c r="O21" s="300"/>
      <c r="P21" s="300"/>
      <c r="Q21" s="301"/>
      <c r="R21" s="220"/>
      <c r="S21" s="212"/>
      <c r="T21" s="298"/>
      <c r="U21" s="119"/>
      <c r="AB21" s="119"/>
    </row>
    <row r="22" spans="1:28" s="112" customFormat="1" ht="48" customHeight="1">
      <c r="A22" s="201"/>
      <c r="B22" s="300"/>
      <c r="C22" s="302" t="s">
        <v>3</v>
      </c>
      <c r="D22" s="303" t="s">
        <v>4</v>
      </c>
      <c r="E22" s="302" t="s">
        <v>6</v>
      </c>
      <c r="F22" s="304" t="s">
        <v>19</v>
      </c>
      <c r="G22" s="304" t="s">
        <v>27</v>
      </c>
      <c r="J22" s="300"/>
      <c r="K22" s="301"/>
      <c r="L22" s="300"/>
      <c r="M22" s="300"/>
      <c r="N22" s="301"/>
      <c r="O22" s="300"/>
      <c r="P22" s="300"/>
      <c r="Q22" s="301"/>
      <c r="R22" s="220"/>
      <c r="S22" s="212"/>
      <c r="T22" s="298"/>
      <c r="U22" s="119"/>
      <c r="AB22" s="119"/>
    </row>
    <row r="23" spans="1:28" s="112" customFormat="1" ht="23.25" customHeight="1">
      <c r="A23" s="202" t="s">
        <v>28</v>
      </c>
      <c r="B23" s="305"/>
      <c r="C23" s="293">
        <v>1020014.18</v>
      </c>
      <c r="D23" s="296">
        <v>0</v>
      </c>
      <c r="E23" s="293">
        <v>25520.64</v>
      </c>
      <c r="F23" s="296">
        <v>0</v>
      </c>
      <c r="G23" s="296">
        <v>404.22</v>
      </c>
      <c r="J23" s="300"/>
      <c r="K23" s="301"/>
      <c r="L23" s="305"/>
      <c r="M23" s="305"/>
      <c r="N23" s="306"/>
      <c r="O23" s="305"/>
      <c r="P23" s="305"/>
      <c r="Q23" s="306"/>
      <c r="R23" s="220"/>
      <c r="S23" s="212"/>
      <c r="T23" s="298">
        <v>1045939.04</v>
      </c>
      <c r="U23" s="119"/>
      <c r="AB23" s="119"/>
    </row>
    <row r="24" spans="1:28" s="112" customFormat="1" ht="21">
      <c r="A24" s="202" t="s">
        <v>29</v>
      </c>
      <c r="B24" s="305"/>
      <c r="C24" s="293">
        <v>778766.02</v>
      </c>
      <c r="D24" s="296">
        <v>0</v>
      </c>
      <c r="E24" s="293">
        <v>11615.85</v>
      </c>
      <c r="F24" s="296">
        <v>0</v>
      </c>
      <c r="G24" s="296">
        <v>3872.17</v>
      </c>
      <c r="J24" s="305"/>
      <c r="K24" s="306"/>
      <c r="L24" s="305"/>
      <c r="M24" s="305"/>
      <c r="N24" s="306"/>
      <c r="O24" s="305"/>
      <c r="P24" s="305"/>
      <c r="Q24" s="306"/>
      <c r="R24" s="220"/>
      <c r="S24" s="212"/>
      <c r="T24" s="298">
        <v>794254.04</v>
      </c>
      <c r="U24" s="119"/>
      <c r="AB24" s="119"/>
    </row>
    <row r="25" spans="1:28" s="112" customFormat="1" ht="21.6" thickBot="1">
      <c r="A25" s="201"/>
      <c r="B25" s="305"/>
      <c r="C25" s="307">
        <v>1798780.2000000002</v>
      </c>
      <c r="D25" s="308">
        <v>0</v>
      </c>
      <c r="E25" s="307">
        <v>37136.49</v>
      </c>
      <c r="F25" s="308">
        <v>0</v>
      </c>
      <c r="G25" s="308">
        <v>4276.39</v>
      </c>
      <c r="J25" s="305"/>
      <c r="K25" s="306"/>
      <c r="L25" s="305"/>
      <c r="M25" s="305"/>
      <c r="N25" s="306"/>
      <c r="O25" s="305"/>
      <c r="P25" s="305"/>
      <c r="Q25" s="306"/>
      <c r="R25" s="220"/>
      <c r="S25" s="212"/>
      <c r="T25" s="276"/>
      <c r="U25" s="119"/>
      <c r="AB25" s="119"/>
    </row>
    <row r="26" spans="1:28" s="112" customFormat="1" ht="21.6" thickTop="1">
      <c r="A26" s="202" t="s">
        <v>28</v>
      </c>
      <c r="B26" s="305"/>
      <c r="C26" s="305"/>
      <c r="D26" s="293"/>
      <c r="E26" s="293"/>
      <c r="F26" s="293"/>
      <c r="G26" s="293"/>
      <c r="H26" s="306"/>
      <c r="I26" s="305"/>
      <c r="J26" s="305"/>
      <c r="K26" s="306"/>
      <c r="L26" s="305"/>
      <c r="M26" s="305"/>
      <c r="N26" s="306"/>
      <c r="O26" s="305"/>
      <c r="P26" s="305"/>
      <c r="Q26" s="306"/>
      <c r="R26" s="220"/>
      <c r="S26" s="212"/>
      <c r="T26" s="276">
        <v>17518755.939999998</v>
      </c>
      <c r="U26" s="370">
        <f>+T26/F4*1000</f>
        <v>49.13674765066543</v>
      </c>
      <c r="AB26" s="119"/>
    </row>
    <row r="27" spans="1:28" s="112" customFormat="1" ht="21">
      <c r="A27" s="202" t="s">
        <v>29</v>
      </c>
      <c r="B27" s="305"/>
      <c r="C27" s="305"/>
      <c r="D27" s="305"/>
      <c r="E27" s="305"/>
      <c r="F27" s="305"/>
      <c r="G27" s="305"/>
      <c r="H27" s="306"/>
      <c r="I27" s="305"/>
      <c r="J27" s="305"/>
      <c r="K27" s="306"/>
      <c r="L27" s="305"/>
      <c r="M27" s="305"/>
      <c r="N27" s="306"/>
      <c r="O27" s="305"/>
      <c r="P27" s="305"/>
      <c r="Q27" s="306"/>
      <c r="R27" s="220"/>
      <c r="S27" s="212"/>
      <c r="T27" s="309">
        <v>13287430.969999999</v>
      </c>
      <c r="U27" s="370">
        <f>+T27/F5*1000</f>
        <v>49.42464015327353</v>
      </c>
      <c r="AB27" s="119"/>
    </row>
    <row r="28" spans="1:28" s="112" customFormat="1" ht="21">
      <c r="A28" s="201" t="s">
        <v>5</v>
      </c>
      <c r="B28" s="305"/>
      <c r="C28" s="305"/>
      <c r="D28" s="305"/>
      <c r="E28" s="305"/>
      <c r="F28" s="305"/>
      <c r="G28" s="305"/>
      <c r="H28" s="306"/>
      <c r="I28" s="305"/>
      <c r="J28" s="305"/>
      <c r="K28" s="306"/>
      <c r="L28" s="305"/>
      <c r="M28" s="305"/>
      <c r="N28" s="306"/>
      <c r="O28" s="305"/>
      <c r="P28" s="305"/>
      <c r="Q28" s="306"/>
      <c r="R28" s="310"/>
      <c r="S28" s="219"/>
      <c r="T28" s="276">
        <v>30806186.909999996</v>
      </c>
      <c r="U28" s="119"/>
      <c r="AB28" s="119"/>
    </row>
    <row r="29" spans="1:28" s="112" customFormat="1" ht="21">
      <c r="A29" s="201"/>
      <c r="B29" s="305"/>
      <c r="C29" s="305"/>
      <c r="D29" s="305"/>
      <c r="E29" s="305"/>
      <c r="F29" s="305"/>
      <c r="G29" s="305"/>
      <c r="H29" s="306"/>
      <c r="I29" s="305"/>
      <c r="J29" s="305"/>
      <c r="K29" s="306"/>
      <c r="L29" s="305"/>
      <c r="M29" s="305"/>
      <c r="N29" s="306"/>
      <c r="O29" s="305"/>
      <c r="P29" s="305"/>
      <c r="Q29" s="306"/>
      <c r="R29" s="311"/>
      <c r="S29" s="312"/>
      <c r="T29" s="293"/>
      <c r="U29" s="119"/>
      <c r="AB29" s="119"/>
    </row>
    <row r="30" spans="1:28" s="112" customFormat="1" ht="66" customHeight="1" thickBot="1">
      <c r="A30" s="206" t="s">
        <v>11</v>
      </c>
      <c r="B30" s="305"/>
      <c r="C30" s="305"/>
      <c r="D30" s="305"/>
      <c r="E30" s="305"/>
      <c r="F30" s="305"/>
      <c r="G30" s="305"/>
      <c r="H30" s="306"/>
      <c r="I30" s="305"/>
      <c r="J30" s="305"/>
      <c r="K30" s="306"/>
      <c r="L30" s="305"/>
      <c r="M30" s="305"/>
      <c r="N30" s="306"/>
      <c r="O30" s="305"/>
      <c r="P30" s="305"/>
      <c r="Q30" s="306"/>
      <c r="R30" s="220"/>
      <c r="S30" s="212"/>
      <c r="T30" s="313">
        <v>30806186.909999996</v>
      </c>
      <c r="U30" s="119"/>
      <c r="AB30" s="119"/>
    </row>
    <row r="31" spans="2:28" s="112" customFormat="1" ht="16.2" thickTop="1">
      <c r="B31" s="188"/>
      <c r="C31" s="188"/>
      <c r="D31" s="188"/>
      <c r="E31" s="188"/>
      <c r="F31" s="188"/>
      <c r="G31" s="188"/>
      <c r="H31" s="190"/>
      <c r="I31" s="188"/>
      <c r="J31" s="188"/>
      <c r="K31" s="190"/>
      <c r="L31" s="188"/>
      <c r="M31" s="188"/>
      <c r="N31" s="190"/>
      <c r="O31" s="188"/>
      <c r="P31" s="188"/>
      <c r="Q31" s="190"/>
      <c r="R31" s="119"/>
      <c r="S31" s="186"/>
      <c r="T31" s="119"/>
      <c r="U31" s="119"/>
      <c r="AB31" s="119"/>
    </row>
    <row r="32" spans="2:28" s="112" customFormat="1" ht="15.6">
      <c r="B32" s="188"/>
      <c r="C32" s="188"/>
      <c r="D32" s="188"/>
      <c r="E32" s="188"/>
      <c r="F32" s="188"/>
      <c r="G32" s="188"/>
      <c r="H32" s="190"/>
      <c r="I32" s="188"/>
      <c r="J32" s="188"/>
      <c r="K32" s="190"/>
      <c r="L32" s="188"/>
      <c r="M32" s="188"/>
      <c r="N32" s="190"/>
      <c r="O32" s="188"/>
      <c r="P32" s="188"/>
      <c r="Q32" s="190"/>
      <c r="R32" s="119"/>
      <c r="S32" s="186"/>
      <c r="T32" s="119"/>
      <c r="U32" s="119"/>
      <c r="AB32" s="119"/>
    </row>
    <row r="33" spans="2:28" s="112" customFormat="1" ht="21">
      <c r="B33" s="188"/>
      <c r="C33" s="188"/>
      <c r="D33" s="198"/>
      <c r="E33" s="188"/>
      <c r="F33" s="188"/>
      <c r="G33" s="188"/>
      <c r="H33" s="190"/>
      <c r="I33" s="188"/>
      <c r="J33" s="188"/>
      <c r="K33" s="190"/>
      <c r="L33" s="188"/>
      <c r="M33" s="188"/>
      <c r="N33" s="190"/>
      <c r="O33" s="188"/>
      <c r="P33" s="188"/>
      <c r="Q33" s="190"/>
      <c r="S33" s="102"/>
      <c r="T33" s="126"/>
      <c r="U33" s="119"/>
      <c r="AB33" s="119"/>
    </row>
    <row r="34" spans="4:20" s="112" customFormat="1" ht="21">
      <c r="D34" s="198"/>
      <c r="H34" s="102"/>
      <c r="J34" s="188"/>
      <c r="K34" s="190"/>
      <c r="N34" s="102"/>
      <c r="Q34" s="102"/>
      <c r="S34" s="102"/>
      <c r="T34" s="129"/>
    </row>
    <row r="35" spans="8:20" s="112" customFormat="1" ht="22.8">
      <c r="H35" s="102"/>
      <c r="J35" s="188"/>
      <c r="K35" s="190"/>
      <c r="N35" s="102"/>
      <c r="Q35" s="102"/>
      <c r="S35" s="102"/>
      <c r="T35" s="199"/>
    </row>
    <row r="36" spans="1:20" ht="17.4">
      <c r="A36" s="112"/>
      <c r="J36" s="112"/>
      <c r="K36" s="102"/>
      <c r="T36" s="200"/>
    </row>
    <row r="37" spans="1:20" ht="15.6">
      <c r="A37" s="112"/>
      <c r="J37" s="112"/>
      <c r="K37" s="102"/>
      <c r="T37" s="153"/>
    </row>
    <row r="38" spans="1:20" ht="15.6">
      <c r="A38" s="112"/>
      <c r="T38" s="153"/>
    </row>
    <row r="39" spans="1:19" ht="15.6">
      <c r="A39" s="112"/>
      <c r="R39" s="172"/>
      <c r="S39" s="173"/>
    </row>
    <row r="40" spans="1:20" ht="15.6">
      <c r="A40" s="112"/>
      <c r="R40" s="144"/>
      <c r="S40" s="177"/>
      <c r="T40" s="144"/>
    </row>
    <row r="41" spans="18:20" ht="12.75">
      <c r="R41" s="144"/>
      <c r="S41" s="177"/>
      <c r="T41" s="144"/>
    </row>
  </sheetData>
  <mergeCells count="9">
    <mergeCell ref="T1:T3"/>
    <mergeCell ref="I2:J2"/>
    <mergeCell ref="L2:M2"/>
    <mergeCell ref="O2:P2"/>
    <mergeCell ref="C1:C3"/>
    <mergeCell ref="D1:D3"/>
    <mergeCell ref="E1:E3"/>
    <mergeCell ref="F1:F3"/>
    <mergeCell ref="G1:G3"/>
  </mergeCells>
  <printOptions horizontalCentered="1"/>
  <pageMargins left="0.375" right="0.375" top="1.875" bottom="1.25" header="0.875" footer="0.375"/>
  <pageSetup fitToWidth="2" horizontalDpi="600" verticalDpi="600" orientation="landscape" scale="31" r:id="rId1"/>
  <headerFooter>
    <oddHeader>&amp;C&amp;"Century Schoolbook,Bold"&amp;16Big Rivers Electric Corporation
Case No. 2012-00nnn
Revenue Summary - Smelters
Base Period October 2012</oddHeader>
    <oddFooter>&amp;L&amp;"Century Schoolbook,Bold"&amp;14Case No. 2012-00nnn
Exhibit 59-807 KAR 5:001 Section 10(10)(m)
Sponsoring Witness:  Ms. Billie Richert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2"/>
  <sheetViews>
    <sheetView view="pageBreakPreview" zoomScale="50" zoomScaleSheetLayoutView="50" workbookViewId="0" topLeftCell="A1">
      <selection activeCell="Z6" sqref="Z6"/>
    </sheetView>
  </sheetViews>
  <sheetFormatPr defaultColWidth="11.00390625" defaultRowHeight="12.75"/>
  <cols>
    <col min="1" max="1" width="48.140625" style="98" customWidth="1"/>
    <col min="2" max="3" width="27.8515625" style="1" customWidth="1"/>
    <col min="4" max="4" width="23.00390625" style="1" bestFit="1" customWidth="1"/>
    <col min="5" max="5" width="26.140625" style="1" customWidth="1"/>
    <col min="6" max="6" width="28.00390625" style="1" customWidth="1"/>
    <col min="7" max="7" width="24.7109375" style="1" customWidth="1"/>
    <col min="8" max="8" width="3.421875" style="52" customWidth="1"/>
    <col min="9" max="9" width="23.28125" style="1" customWidth="1"/>
    <col min="10" max="10" width="14.57421875" style="1" customWidth="1"/>
    <col min="11" max="11" width="4.140625" style="52" customWidth="1"/>
    <col min="12" max="12" width="22.57421875" style="1" customWidth="1"/>
    <col min="13" max="13" width="10.8515625" style="1" customWidth="1"/>
    <col min="14" max="14" width="3.28125" style="52" customWidth="1"/>
    <col min="15" max="15" width="22.7109375" style="1" bestFit="1" customWidth="1"/>
    <col min="16" max="16" width="15.57421875" style="1" customWidth="1"/>
    <col min="17" max="17" width="2.8515625" style="52" customWidth="1"/>
    <col min="18" max="18" width="22.8515625" style="1" customWidth="1"/>
    <col min="19" max="19" width="2.421875" style="52" customWidth="1"/>
    <col min="20" max="20" width="26.8515625" style="1" customWidth="1"/>
    <col min="21" max="21" width="22.57421875" style="1" customWidth="1"/>
    <col min="22" max="23" width="11.00390625" style="1" customWidth="1"/>
    <col min="24" max="24" width="14.00390625" style="1" bestFit="1" customWidth="1"/>
    <col min="25" max="25" width="17.421875" style="1" customWidth="1"/>
    <col min="26" max="27" width="11.00390625" style="1" customWidth="1"/>
    <col min="28" max="28" width="15.140625" style="1" customWidth="1"/>
    <col min="29" max="16384" width="11.00390625" style="1" customWidth="1"/>
  </cols>
  <sheetData>
    <row r="1" spans="1:28" ht="36.75" customHeight="1">
      <c r="A1" s="100"/>
      <c r="C1" s="95"/>
      <c r="D1" s="476" t="s">
        <v>10</v>
      </c>
      <c r="E1" s="476" t="s">
        <v>8</v>
      </c>
      <c r="F1" s="476" t="s">
        <v>7</v>
      </c>
      <c r="G1" s="476" t="s">
        <v>9</v>
      </c>
      <c r="H1" s="19"/>
      <c r="I1" s="63"/>
      <c r="J1" s="66"/>
      <c r="K1" s="21"/>
      <c r="L1" s="63"/>
      <c r="M1" s="64"/>
      <c r="N1" s="64"/>
      <c r="O1" s="63"/>
      <c r="P1" s="63"/>
      <c r="Q1" s="44"/>
      <c r="R1" s="19"/>
      <c r="S1" s="19"/>
      <c r="T1" s="476" t="s">
        <v>13</v>
      </c>
      <c r="U1" s="6"/>
      <c r="V1" s="6"/>
      <c r="W1" s="6"/>
      <c r="AB1" s="14"/>
    </row>
    <row r="2" spans="1:28" ht="36.75" customHeight="1">
      <c r="A2" s="314" t="s">
        <v>30</v>
      </c>
      <c r="B2" s="45"/>
      <c r="C2" s="45"/>
      <c r="D2" s="479"/>
      <c r="E2" s="479"/>
      <c r="F2" s="477"/>
      <c r="G2" s="479"/>
      <c r="H2" s="19"/>
      <c r="I2" s="481" t="s">
        <v>16</v>
      </c>
      <c r="J2" s="482"/>
      <c r="K2" s="60"/>
      <c r="L2" s="481" t="s">
        <v>17</v>
      </c>
      <c r="M2" s="482"/>
      <c r="N2" s="60"/>
      <c r="O2" s="481" t="s">
        <v>18</v>
      </c>
      <c r="P2" s="482"/>
      <c r="Q2" s="60"/>
      <c r="R2" s="55"/>
      <c r="S2" s="19"/>
      <c r="T2" s="477"/>
      <c r="U2" s="6"/>
      <c r="V2" s="6"/>
      <c r="W2" s="6"/>
      <c r="AB2" s="14"/>
    </row>
    <row r="3" spans="1:28" ht="35.25" customHeight="1">
      <c r="A3" s="201" t="s">
        <v>0</v>
      </c>
      <c r="B3" s="35"/>
      <c r="C3" s="35" t="s">
        <v>19</v>
      </c>
      <c r="D3" s="480"/>
      <c r="E3" s="480"/>
      <c r="F3" s="478"/>
      <c r="G3" s="480"/>
      <c r="H3" s="48"/>
      <c r="I3" s="46" t="s">
        <v>14</v>
      </c>
      <c r="J3" s="32" t="s">
        <v>15</v>
      </c>
      <c r="K3" s="48"/>
      <c r="L3" s="46" t="s">
        <v>14</v>
      </c>
      <c r="M3" s="32" t="s">
        <v>15</v>
      </c>
      <c r="N3" s="48"/>
      <c r="O3" s="46" t="s">
        <v>14</v>
      </c>
      <c r="P3" s="32" t="s">
        <v>15</v>
      </c>
      <c r="Q3" s="48"/>
      <c r="R3" s="47" t="s">
        <v>12</v>
      </c>
      <c r="S3" s="53"/>
      <c r="T3" s="478"/>
      <c r="U3" s="8"/>
      <c r="V3" s="5"/>
      <c r="W3" s="5"/>
      <c r="X3" s="3"/>
      <c r="Y3" s="4"/>
      <c r="AB3" s="15"/>
    </row>
    <row r="4" spans="1:28" ht="27.75" customHeight="1">
      <c r="A4" s="202" t="s">
        <v>28</v>
      </c>
      <c r="B4" s="73">
        <f>'5-2012-BY'!B4+'6-2012-BY'!B4+'7-2012-BY'!B4+'8-2012-BY'!B4+'9-2012-BY'!B4+'10-2012-BY'!B4</f>
        <v>2121658618</v>
      </c>
      <c r="C4" s="73">
        <f>'5-2012-BY'!C4+'6-2012-BY'!C4+'7-2012-BY'!C4+'8-2012-BY'!C4+'9-2012-BY'!C4+'10-2012-BY'!C4</f>
        <v>217000</v>
      </c>
      <c r="D4" s="73">
        <f>'5-2012-BY'!D4+'6-2012-BY'!D4+'7-2012-BY'!D4+'8-2012-BY'!D4+'9-2012-BY'!D4+'10-2012-BY'!D4</f>
        <v>10127383</v>
      </c>
      <c r="E4" s="73">
        <f>'5-2012-BY'!E4+'6-2012-BY'!E4+'7-2012-BY'!E4+'8-2012-BY'!E4+'9-2012-BY'!E4+'10-2012-BY'!E4</f>
        <v>0</v>
      </c>
      <c r="F4" s="72">
        <f>SUM(B4:E4)</f>
        <v>2132003001</v>
      </c>
      <c r="G4" s="27">
        <f>T26/F4*1000</f>
        <v>48.67127657481191</v>
      </c>
      <c r="H4" s="28"/>
      <c r="I4" s="73">
        <f>'5-2012-BY'!I4+'6-2012-BY'!I4+'7-2012-BY'!I4+'8-2012-BY'!I4+'9-2012-BY'!I4+'10-2012-BY'!I4</f>
        <v>6778628.0200000005</v>
      </c>
      <c r="J4" s="27">
        <f>I4/B4*1000</f>
        <v>3.1949664109440628</v>
      </c>
      <c r="K4" s="28"/>
      <c r="L4" s="73">
        <f>'5-2012-BY'!L4+'6-2012-BY'!L4+'7-2012-BY'!L4+'8-2012-BY'!L4+'9-2012-BY'!L4+'10-2012-BY'!L4</f>
        <v>4550534.17</v>
      </c>
      <c r="M4" s="27">
        <f>L4/B4*1000</f>
        <v>2.1448003610918334</v>
      </c>
      <c r="N4" s="28"/>
      <c r="O4" s="73">
        <f>'5-2012-BY'!O4+'6-2012-BY'!O4+'7-2012-BY'!O4+'8-2012-BY'!O4+'9-2012-BY'!O4+'10-2012-BY'!O4</f>
        <v>-932635.9500000001</v>
      </c>
      <c r="P4" s="77">
        <f>O4/B4*1000</f>
        <v>-0.4395787060592988</v>
      </c>
      <c r="Q4" s="78"/>
      <c r="R4" s="73">
        <f>'5-2012-BY'!R4+'6-2012-BY'!R4+'7-2012-BY'!R4+'8-2012-BY'!R4+'9-2012-BY'!R4+'10-2012-BY'!R4</f>
        <v>3892418.12</v>
      </c>
      <c r="S4" s="69"/>
      <c r="T4" s="72">
        <f>I4+L4+R4+O4</f>
        <v>14288944.360000003</v>
      </c>
      <c r="U4" s="8"/>
      <c r="V4" s="5"/>
      <c r="W4" s="5"/>
      <c r="X4" s="3"/>
      <c r="Y4" s="4"/>
      <c r="AB4" s="15"/>
    </row>
    <row r="5" spans="1:28" ht="21">
      <c r="A5" s="202" t="s">
        <v>29</v>
      </c>
      <c r="B5" s="73">
        <f>'5-2012-BY'!B5+'6-2012-BY'!B5+'7-2012-BY'!B5+'8-2012-BY'!B5+'9-2012-BY'!B5+'10-2012-BY'!B5</f>
        <v>1591460485</v>
      </c>
      <c r="C5" s="73">
        <f>'5-2012-BY'!C5+'6-2012-BY'!C5+'7-2012-BY'!C5+'8-2012-BY'!C5+'9-2012-BY'!C5+'10-2012-BY'!C5</f>
        <v>0</v>
      </c>
      <c r="D5" s="73">
        <f>'5-2012-BY'!D5+'6-2012-BY'!D5+'7-2012-BY'!D5+'8-2012-BY'!D5+'9-2012-BY'!D5+'10-2012-BY'!D5</f>
        <v>2446395</v>
      </c>
      <c r="E5" s="73">
        <f>'5-2012-BY'!E5+'6-2012-BY'!E5+'7-2012-BY'!E5+'8-2012-BY'!E5+'9-2012-BY'!E5+'10-2012-BY'!E5</f>
        <v>-2493184</v>
      </c>
      <c r="F5" s="74">
        <f>SUM(B5:E5)</f>
        <v>1591413696</v>
      </c>
      <c r="G5" s="27">
        <f>T27/F5*1000</f>
        <v>49.114788836151874</v>
      </c>
      <c r="H5" s="28"/>
      <c r="I5" s="73">
        <f>'5-2012-BY'!I5+'6-2012-BY'!I5+'7-2012-BY'!I5+'8-2012-BY'!I5+'9-2012-BY'!I5+'10-2012-BY'!I5</f>
        <v>5083287.81</v>
      </c>
      <c r="J5" s="27">
        <f>I5/B5*1000</f>
        <v>3.1941024347833555</v>
      </c>
      <c r="K5" s="28"/>
      <c r="L5" s="73">
        <f>'5-2012-BY'!L5+'6-2012-BY'!L5+'7-2012-BY'!L5+'8-2012-BY'!L5+'9-2012-BY'!L5+'10-2012-BY'!L5</f>
        <v>3412458.87</v>
      </c>
      <c r="M5" s="27">
        <f>L5/B5*1000</f>
        <v>2.144230976617682</v>
      </c>
      <c r="N5" s="28"/>
      <c r="O5" s="73">
        <f>'5-2012-BY'!O5+'6-2012-BY'!O5+'7-2012-BY'!O5+'8-2012-BY'!O5+'9-2012-BY'!O5+'10-2012-BY'!O5</f>
        <v>-700099.1699999999</v>
      </c>
      <c r="P5" s="77">
        <f>O5/B5*1000</f>
        <v>-0.4399098668164544</v>
      </c>
      <c r="Q5" s="78"/>
      <c r="R5" s="73">
        <f>'5-2012-BY'!R5+'6-2012-BY'!R5+'7-2012-BY'!R5+'8-2012-BY'!R5+'9-2012-BY'!R5+'10-2012-BY'!R5</f>
        <v>2971813.4800000004</v>
      </c>
      <c r="S5" s="69"/>
      <c r="T5" s="72">
        <f>I5+L5+R5+O5</f>
        <v>10767460.99</v>
      </c>
      <c r="U5" s="8"/>
      <c r="V5" s="5"/>
      <c r="W5" s="5"/>
      <c r="X5" s="3"/>
      <c r="Y5" s="4"/>
      <c r="AB5" s="15"/>
    </row>
    <row r="6" spans="1:28" ht="21.6" thickBot="1">
      <c r="A6" s="203"/>
      <c r="B6" s="70">
        <f>SUM(B4:B5)</f>
        <v>3713119103</v>
      </c>
      <c r="C6" s="70">
        <f>SUM(C4:C5)</f>
        <v>217000</v>
      </c>
      <c r="D6" s="42">
        <f>SUM(D4:D5)</f>
        <v>12573778</v>
      </c>
      <c r="E6" s="75">
        <f>SUM(E4:E5)</f>
        <v>-2493184</v>
      </c>
      <c r="F6" s="42">
        <f>SUM(F4:F5)</f>
        <v>3723416697</v>
      </c>
      <c r="G6" s="88"/>
      <c r="H6" s="89"/>
      <c r="I6" s="70">
        <f>SUM(I4:I5)</f>
        <v>11861915.83</v>
      </c>
      <c r="J6" s="69"/>
      <c r="K6" s="69"/>
      <c r="L6" s="70">
        <f>SUM(L4:L5)</f>
        <v>7962993.04</v>
      </c>
      <c r="M6" s="69"/>
      <c r="N6" s="69"/>
      <c r="O6" s="71">
        <f>+O4+O5</f>
        <v>-1632735.12</v>
      </c>
      <c r="P6" s="69"/>
      <c r="Q6" s="69"/>
      <c r="R6" s="70">
        <f>+R4+R5</f>
        <v>6864231.600000001</v>
      </c>
      <c r="S6" s="69"/>
      <c r="T6" s="42">
        <f>SUM(T4:T5)</f>
        <v>25056405.35</v>
      </c>
      <c r="U6" s="7"/>
      <c r="V6" s="97"/>
      <c r="W6" s="6"/>
      <c r="X6" s="1"/>
      <c r="AB6" s="16"/>
    </row>
    <row r="7" spans="1:28" ht="21.6" thickTop="1">
      <c r="A7" s="204"/>
      <c r="B7" s="90"/>
      <c r="C7" s="90"/>
      <c r="D7" s="88"/>
      <c r="E7" s="88"/>
      <c r="F7" s="88"/>
      <c r="G7" s="93"/>
      <c r="H7" s="94"/>
      <c r="I7" s="89"/>
      <c r="J7" s="89"/>
      <c r="K7" s="89"/>
      <c r="L7" s="67"/>
      <c r="M7" s="92"/>
      <c r="N7" s="92"/>
      <c r="O7" s="28"/>
      <c r="P7" s="28"/>
      <c r="Q7" s="28"/>
      <c r="R7" s="92"/>
      <c r="S7" s="92"/>
      <c r="T7" s="34"/>
      <c r="U7" s="7"/>
      <c r="V7" s="6"/>
      <c r="W7" s="6"/>
      <c r="X7" s="1"/>
      <c r="AB7" s="13"/>
    </row>
    <row r="8" spans="1:28" ht="21">
      <c r="A8" s="205" t="s">
        <v>1</v>
      </c>
      <c r="B8" s="86"/>
      <c r="C8" s="86"/>
      <c r="D8" s="81"/>
      <c r="E8" s="81"/>
      <c r="F8" s="91"/>
      <c r="G8" s="23"/>
      <c r="H8" s="58"/>
      <c r="I8" s="20"/>
      <c r="J8" s="18"/>
      <c r="K8" s="18"/>
      <c r="L8" s="18"/>
      <c r="M8" s="18"/>
      <c r="N8" s="18"/>
      <c r="O8" s="18"/>
      <c r="P8" s="18"/>
      <c r="Q8" s="18"/>
      <c r="R8" s="20"/>
      <c r="S8" s="20"/>
      <c r="T8" s="10"/>
      <c r="U8" s="7"/>
      <c r="V8" s="6"/>
      <c r="W8" s="6"/>
      <c r="X8" s="1"/>
      <c r="AB8" s="13"/>
    </row>
    <row r="9" spans="1:28" ht="18" customHeight="1">
      <c r="A9" s="202" t="s">
        <v>28</v>
      </c>
      <c r="B9" s="73">
        <f>'5-2012-BY'!B9+'6-2012-BY'!B9+'7-2012-BY'!B9+'8-2012-BY'!B9+'9-2012-BY'!B9+'10-2012-BY'!B9</f>
        <v>2085941760</v>
      </c>
      <c r="C9" s="73"/>
      <c r="D9" s="81"/>
      <c r="E9" s="81"/>
      <c r="F9" s="27"/>
      <c r="G9" s="24"/>
      <c r="H9" s="59"/>
      <c r="I9" s="20"/>
      <c r="J9" s="22"/>
      <c r="K9" s="22"/>
      <c r="L9" s="18"/>
      <c r="M9" s="18"/>
      <c r="N9" s="18"/>
      <c r="O9" s="18"/>
      <c r="P9" s="18"/>
      <c r="Q9" s="18"/>
      <c r="R9" s="31"/>
      <c r="S9" s="31"/>
      <c r="T9" s="73">
        <f>'5-2012-BY'!T9+'6-2012-BY'!T9+'7-2012-BY'!T9+'8-2012-BY'!T9+'9-2012-BY'!T9+'10-2012-BY'!T9</f>
        <v>82169417.82</v>
      </c>
      <c r="U9" s="6"/>
      <c r="V9" s="6"/>
      <c r="W9" s="6"/>
      <c r="AB9" s="13"/>
    </row>
    <row r="10" spans="1:28" ht="21">
      <c r="A10" s="202" t="s">
        <v>29</v>
      </c>
      <c r="B10" s="73">
        <f>'5-2012-BY'!B10+'6-2012-BY'!B10+'7-2012-BY'!B10+'8-2012-BY'!B10+'9-2012-BY'!B10+'10-2012-BY'!B10</f>
        <v>1592586240</v>
      </c>
      <c r="C10" s="73"/>
      <c r="D10" s="81"/>
      <c r="E10" s="81"/>
      <c r="F10" s="27"/>
      <c r="G10" s="24"/>
      <c r="H10" s="59"/>
      <c r="I10" s="20"/>
      <c r="J10" s="22"/>
      <c r="K10" s="22"/>
      <c r="L10" s="18"/>
      <c r="M10" s="18"/>
      <c r="N10" s="18"/>
      <c r="O10" s="18"/>
      <c r="P10" s="18"/>
      <c r="Q10" s="18"/>
      <c r="R10" s="25"/>
      <c r="S10" s="54"/>
      <c r="T10" s="73">
        <f>'5-2012-BY'!T10+'6-2012-BY'!T10+'7-2012-BY'!T10+'8-2012-BY'!T10+'9-2012-BY'!T10+'10-2012-BY'!T10</f>
        <v>62735157.14</v>
      </c>
      <c r="U10" s="6"/>
      <c r="V10" s="6"/>
      <c r="W10" s="6"/>
      <c r="AB10" s="13"/>
    </row>
    <row r="11" spans="1:28" ht="21.6" thickBot="1">
      <c r="A11" s="203"/>
      <c r="B11" s="70">
        <f>SUM(B9:B10)</f>
        <v>3678528000</v>
      </c>
      <c r="C11" s="69"/>
      <c r="D11" s="81"/>
      <c r="E11" s="81"/>
      <c r="F11" s="27"/>
      <c r="G11" s="24"/>
      <c r="H11" s="59"/>
      <c r="I11" s="11"/>
      <c r="J11" s="22"/>
      <c r="K11" s="22"/>
      <c r="L11" s="13"/>
      <c r="M11" s="13"/>
      <c r="N11" s="18"/>
      <c r="O11" s="13"/>
      <c r="P11" s="13"/>
      <c r="Q11" s="18"/>
      <c r="R11" s="25"/>
      <c r="S11" s="54"/>
      <c r="T11" s="34"/>
      <c r="U11" s="6"/>
      <c r="V11" s="6"/>
      <c r="W11" s="6"/>
      <c r="AB11" s="13"/>
    </row>
    <row r="12" spans="1:28" ht="21.6" thickTop="1">
      <c r="A12" s="203"/>
      <c r="B12" s="27"/>
      <c r="C12" s="27"/>
      <c r="D12" s="81"/>
      <c r="E12" s="81"/>
      <c r="F12" s="81"/>
      <c r="G12" s="11"/>
      <c r="H12" s="22"/>
      <c r="I12" s="11"/>
      <c r="J12" s="11"/>
      <c r="K12" s="22"/>
      <c r="L12" s="11"/>
      <c r="M12" s="11"/>
      <c r="N12" s="22"/>
      <c r="O12" s="11"/>
      <c r="P12" s="11"/>
      <c r="Q12" s="22"/>
      <c r="R12" s="25"/>
      <c r="S12" s="54"/>
      <c r="T12" s="34"/>
      <c r="U12" s="6"/>
      <c r="V12" s="6"/>
      <c r="W12" s="6"/>
      <c r="AB12" s="11"/>
    </row>
    <row r="13" spans="1:28" ht="21">
      <c r="A13" s="204"/>
      <c r="B13" s="82"/>
      <c r="C13" s="82"/>
      <c r="D13" s="83"/>
      <c r="E13" s="83"/>
      <c r="F13" s="83"/>
      <c r="G13" s="17"/>
      <c r="H13" s="49"/>
      <c r="I13" s="17"/>
      <c r="J13" s="11"/>
      <c r="K13" s="22"/>
      <c r="L13" s="17"/>
      <c r="M13" s="17"/>
      <c r="N13" s="49"/>
      <c r="O13" s="17"/>
      <c r="P13" s="17"/>
      <c r="Q13" s="49"/>
      <c r="R13" s="6"/>
      <c r="S13" s="20"/>
      <c r="T13" s="34"/>
      <c r="U13" s="6"/>
      <c r="V13" s="6"/>
      <c r="W13" s="6"/>
      <c r="AB13" s="17"/>
    </row>
    <row r="14" spans="1:28" ht="21">
      <c r="A14" s="204"/>
      <c r="B14" s="84"/>
      <c r="C14" s="84"/>
      <c r="D14" s="85"/>
      <c r="E14" s="85"/>
      <c r="F14" s="85"/>
      <c r="G14" s="7"/>
      <c r="H14" s="50"/>
      <c r="I14" s="7"/>
      <c r="J14" s="17"/>
      <c r="K14" s="49"/>
      <c r="L14" s="7"/>
      <c r="M14" s="7"/>
      <c r="N14" s="50"/>
      <c r="O14" s="7"/>
      <c r="P14" s="7"/>
      <c r="Q14" s="50"/>
      <c r="R14" s="7"/>
      <c r="S14" s="50"/>
      <c r="T14" s="38"/>
      <c r="U14" s="7"/>
      <c r="V14" s="6"/>
      <c r="W14" s="6"/>
      <c r="X14" s="6"/>
      <c r="Y14" s="6"/>
      <c r="Z14" s="6"/>
      <c r="AA14" s="6"/>
      <c r="AB14" s="2"/>
    </row>
    <row r="15" spans="1:28" ht="21">
      <c r="A15" s="205" t="s">
        <v>2</v>
      </c>
      <c r="B15" s="86"/>
      <c r="C15" s="86"/>
      <c r="D15" s="85"/>
      <c r="E15" s="85"/>
      <c r="F15" s="85"/>
      <c r="G15" s="7"/>
      <c r="H15" s="50"/>
      <c r="I15" s="7"/>
      <c r="J15" s="7"/>
      <c r="K15" s="50"/>
      <c r="L15" s="7"/>
      <c r="M15" s="7"/>
      <c r="N15" s="50"/>
      <c r="O15" s="7"/>
      <c r="P15" s="7"/>
      <c r="Q15" s="50"/>
      <c r="R15" s="7"/>
      <c r="S15" s="50"/>
      <c r="T15" s="68"/>
      <c r="U15" s="7"/>
      <c r="V15" s="6"/>
      <c r="W15" s="6"/>
      <c r="X15" s="6"/>
      <c r="Y15" s="6"/>
      <c r="Z15" s="6"/>
      <c r="AA15" s="6"/>
      <c r="AB15" s="2"/>
    </row>
    <row r="16" spans="1:28" ht="21">
      <c r="A16" s="202" t="s">
        <v>28</v>
      </c>
      <c r="B16" s="87">
        <f>B4-B9</f>
        <v>35716858</v>
      </c>
      <c r="C16" s="87"/>
      <c r="D16" s="85"/>
      <c r="E16" s="85"/>
      <c r="F16" s="85"/>
      <c r="G16" s="7"/>
      <c r="H16" s="50"/>
      <c r="I16" s="7"/>
      <c r="J16" s="7"/>
      <c r="K16" s="50"/>
      <c r="L16" s="7"/>
      <c r="M16" s="7"/>
      <c r="N16" s="50"/>
      <c r="O16" s="7"/>
      <c r="P16" s="7"/>
      <c r="Q16" s="50"/>
      <c r="R16" s="7"/>
      <c r="S16" s="50"/>
      <c r="T16" s="73">
        <f>'5-2012-BY'!T16+'6-2012-BY'!T16+'7-2012-BY'!T16+'8-2012-BY'!T16+'9-2012-BY'!T16+'10-2012-BY'!T16</f>
        <v>778841.81</v>
      </c>
      <c r="U16" s="7"/>
      <c r="V16" s="6"/>
      <c r="W16" s="6"/>
      <c r="X16" s="6"/>
      <c r="Y16" s="6"/>
      <c r="Z16" s="6"/>
      <c r="AA16" s="6"/>
      <c r="AB16" s="2"/>
    </row>
    <row r="17" spans="1:28" ht="21">
      <c r="A17" s="202" t="s">
        <v>29</v>
      </c>
      <c r="B17" s="87">
        <f>B5-B10</f>
        <v>-1125755</v>
      </c>
      <c r="C17" s="87"/>
      <c r="D17" s="85"/>
      <c r="E17" s="85"/>
      <c r="F17" s="85"/>
      <c r="G17" s="7"/>
      <c r="H17" s="50"/>
      <c r="I17" s="7"/>
      <c r="J17" s="7"/>
      <c r="K17" s="50"/>
      <c r="L17" s="7"/>
      <c r="M17" s="7"/>
      <c r="N17" s="50"/>
      <c r="O17" s="7"/>
      <c r="P17" s="7"/>
      <c r="Q17" s="50"/>
      <c r="R17" s="7"/>
      <c r="S17" s="50"/>
      <c r="T17" s="73">
        <f>'5-2012-BY'!T17+'6-2012-BY'!T17+'7-2012-BY'!T17+'8-2012-BY'!T17+'9-2012-BY'!T17+'10-2012-BY'!T17</f>
        <v>-24548.179999999997</v>
      </c>
      <c r="U17" s="7"/>
      <c r="V17" s="6"/>
      <c r="W17" s="6"/>
      <c r="X17" s="6"/>
      <c r="Y17" s="6"/>
      <c r="Z17" s="6"/>
      <c r="AA17" s="6"/>
      <c r="AB17" s="2"/>
    </row>
    <row r="18" spans="1:28" ht="21.6" thickBot="1">
      <c r="A18" s="203"/>
      <c r="B18" s="71">
        <f>SUM(B16:B17)</f>
        <v>34591103</v>
      </c>
      <c r="C18" s="62"/>
      <c r="D18" s="85"/>
      <c r="E18" s="85"/>
      <c r="F18" s="85"/>
      <c r="G18" s="7"/>
      <c r="H18" s="50"/>
      <c r="I18" s="7"/>
      <c r="J18" s="7"/>
      <c r="K18" s="50"/>
      <c r="L18" s="7"/>
      <c r="M18" s="7"/>
      <c r="N18" s="50"/>
      <c r="O18" s="7"/>
      <c r="P18" s="7"/>
      <c r="Q18" s="50"/>
      <c r="R18" s="7"/>
      <c r="S18" s="50"/>
      <c r="T18" s="68"/>
      <c r="U18" s="7"/>
      <c r="V18" s="6"/>
      <c r="W18" s="6"/>
      <c r="X18" s="6"/>
      <c r="Y18" s="6"/>
      <c r="Z18" s="6"/>
      <c r="AA18" s="6"/>
      <c r="AB18" s="2"/>
    </row>
    <row r="19" spans="1:28" ht="21.6" thickTop="1">
      <c r="A19" s="204"/>
      <c r="B19" s="84"/>
      <c r="C19" s="84"/>
      <c r="D19" s="85"/>
      <c r="E19" s="85"/>
      <c r="F19" s="85"/>
      <c r="G19" s="7"/>
      <c r="H19" s="50"/>
      <c r="I19" s="7"/>
      <c r="J19" s="7"/>
      <c r="K19" s="50"/>
      <c r="L19" s="7"/>
      <c r="M19" s="7"/>
      <c r="N19" s="50"/>
      <c r="O19" s="7"/>
      <c r="P19" s="7"/>
      <c r="Q19" s="50"/>
      <c r="R19" s="7"/>
      <c r="S19" s="50"/>
      <c r="T19" s="68"/>
      <c r="U19" s="7"/>
      <c r="V19" s="6"/>
      <c r="W19" s="6"/>
      <c r="X19" s="6"/>
      <c r="Y19" s="6"/>
      <c r="Z19" s="6"/>
      <c r="AA19" s="6"/>
      <c r="AB19" s="2"/>
    </row>
    <row r="20" spans="1:28" ht="21">
      <c r="A20" s="204"/>
      <c r="B20" s="7"/>
      <c r="C20" s="7"/>
      <c r="D20" s="7"/>
      <c r="E20" s="7"/>
      <c r="F20" s="7"/>
      <c r="G20" s="7"/>
      <c r="H20" s="50"/>
      <c r="I20" s="7"/>
      <c r="J20" s="7"/>
      <c r="K20" s="50"/>
      <c r="L20" s="7"/>
      <c r="M20" s="7"/>
      <c r="N20" s="50"/>
      <c r="O20" s="7"/>
      <c r="P20" s="7"/>
      <c r="Q20" s="50"/>
      <c r="R20" s="6"/>
      <c r="S20" s="20"/>
      <c r="T20" s="61"/>
      <c r="U20" s="7"/>
      <c r="V20" s="6"/>
      <c r="W20" s="6"/>
      <c r="X20" s="6"/>
      <c r="Y20" s="6"/>
      <c r="Z20" s="6"/>
      <c r="AA20" s="6"/>
      <c r="AB20" s="2"/>
    </row>
    <row r="21" spans="1:28" s="3" customFormat="1" ht="0.75" customHeight="1">
      <c r="A21" s="201"/>
      <c r="B21" s="8"/>
      <c r="C21" s="8"/>
      <c r="D21" s="8"/>
      <c r="E21" s="8"/>
      <c r="F21" s="8"/>
      <c r="G21" s="11"/>
      <c r="H21" s="22"/>
      <c r="I21" s="8"/>
      <c r="J21" s="7"/>
      <c r="K21" s="50"/>
      <c r="L21" s="8"/>
      <c r="M21" s="8"/>
      <c r="N21" s="51"/>
      <c r="O21" s="8"/>
      <c r="P21" s="8"/>
      <c r="Q21" s="51"/>
      <c r="R21" s="5"/>
      <c r="S21" s="19"/>
      <c r="T21" s="61"/>
      <c r="U21" s="8"/>
      <c r="V21" s="5"/>
      <c r="W21" s="5"/>
      <c r="X21" s="5"/>
      <c r="Y21" s="5"/>
      <c r="Z21" s="5"/>
      <c r="AA21" s="5"/>
      <c r="AB21" s="26"/>
    </row>
    <row r="22" spans="1:28" s="3" customFormat="1" ht="39" customHeight="1">
      <c r="A22" s="201"/>
      <c r="B22" s="65"/>
      <c r="C22" s="210" t="s">
        <v>3</v>
      </c>
      <c r="D22" s="209" t="s">
        <v>4</v>
      </c>
      <c r="E22" s="210" t="s">
        <v>6</v>
      </c>
      <c r="F22" s="211" t="s">
        <v>19</v>
      </c>
      <c r="G22" s="304" t="s">
        <v>27</v>
      </c>
      <c r="H22" s="22"/>
      <c r="I22" s="8"/>
      <c r="J22" s="8"/>
      <c r="K22" s="51"/>
      <c r="L22" s="8"/>
      <c r="M22" s="8"/>
      <c r="N22" s="51"/>
      <c r="O22" s="8"/>
      <c r="P22" s="8"/>
      <c r="Q22" s="51"/>
      <c r="R22" s="5"/>
      <c r="S22" s="19"/>
      <c r="T22" s="61"/>
      <c r="U22" s="8"/>
      <c r="V22" s="5"/>
      <c r="W22" s="5"/>
      <c r="X22" s="5"/>
      <c r="Y22" s="5"/>
      <c r="Z22" s="5"/>
      <c r="AA22" s="5"/>
      <c r="AB22" s="26"/>
    </row>
    <row r="23" spans="1:28" s="3" customFormat="1" ht="23.25" customHeight="1">
      <c r="A23" s="202" t="s">
        <v>28</v>
      </c>
      <c r="B23" s="9"/>
      <c r="C23" s="73">
        <f>'5-2012-BY'!C23+'6-2012-BY'!C23+'7-2012-BY'!C23+'8-2012-BY'!C23+'9-2012-BY'!C23+'10-2012-BY'!C23</f>
        <v>6120085.08</v>
      </c>
      <c r="D23" s="73">
        <f>'5-2012-BY'!D23+'6-2012-BY'!D23+'7-2012-BY'!D23+'8-2012-BY'!D23+'9-2012-BY'!D23+'10-2012-BY'!D23</f>
        <v>0</v>
      </c>
      <c r="E23" s="73">
        <f>'5-2012-BY'!E23+'6-2012-BY'!E23+'7-2012-BY'!E23+'8-2012-BY'!E23+'9-2012-BY'!E23+'10-2012-BY'!E23</f>
        <v>403079.60000000003</v>
      </c>
      <c r="F23" s="73">
        <f>'5-2012-BY'!F23+'6-2012-BY'!F23+'7-2012-BY'!F23+'8-2012-BY'!F23+'9-2012-BY'!F23+'10-2012-BY'!F23</f>
        <v>6534.83</v>
      </c>
      <c r="G23" s="73">
        <f>'5-2012-BY'!G23+'6-2012-BY'!G23+'7-2012-BY'!G23+'8-2012-BY'!G23+'9-2012-BY'!G23+'10-2012-BY'!G23</f>
        <v>404.22</v>
      </c>
      <c r="H23" s="57"/>
      <c r="I23" s="30"/>
      <c r="J23" s="8"/>
      <c r="K23" s="51"/>
      <c r="L23" s="30"/>
      <c r="M23" s="30"/>
      <c r="N23" s="33"/>
      <c r="O23" s="30"/>
      <c r="P23" s="30"/>
      <c r="Q23" s="33"/>
      <c r="R23" s="5"/>
      <c r="S23" s="19"/>
      <c r="T23" s="61">
        <f>C23+D23+E23+F23+G23</f>
        <v>6530103.7299999995</v>
      </c>
      <c r="U23" s="8"/>
      <c r="V23" s="5"/>
      <c r="W23" s="5"/>
      <c r="X23" s="5"/>
      <c r="Y23" s="5"/>
      <c r="Z23" s="5"/>
      <c r="AA23" s="5"/>
      <c r="AB23" s="26"/>
    </row>
    <row r="24" spans="1:28" s="3" customFormat="1" ht="21">
      <c r="A24" s="202" t="s">
        <v>29</v>
      </c>
      <c r="B24" s="9"/>
      <c r="C24" s="73">
        <f>'5-2012-BY'!C24+'6-2012-BY'!C24+'7-2012-BY'!C24+'8-2012-BY'!C24+'9-2012-BY'!C24+'10-2012-BY'!C24</f>
        <v>4672596.12</v>
      </c>
      <c r="D24" s="73">
        <f>'5-2012-BY'!D24+'6-2012-BY'!D24+'7-2012-BY'!D24+'8-2012-BY'!D24+'9-2012-BY'!D24+'10-2012-BY'!D24</f>
        <v>-86535.2</v>
      </c>
      <c r="E24" s="73">
        <f>'5-2012-BY'!E24+'6-2012-BY'!E24+'7-2012-BY'!E24+'8-2012-BY'!E24+'9-2012-BY'!E24+'10-2012-BY'!E24</f>
        <v>93944.59</v>
      </c>
      <c r="F24" s="73">
        <f>'5-2012-BY'!F24+'6-2012-BY'!F24+'7-2012-BY'!F24+'8-2012-BY'!F24+'9-2012-BY'!F24+'10-2012-BY'!F24</f>
        <v>0</v>
      </c>
      <c r="G24" s="73">
        <f>'5-2012-BY'!G24+'6-2012-BY'!G24+'7-2012-BY'!G24+'8-2012-BY'!G24+'9-2012-BY'!G24+'10-2012-BY'!G24</f>
        <v>3872.17</v>
      </c>
      <c r="H24" s="57"/>
      <c r="I24" s="30"/>
      <c r="J24" s="30"/>
      <c r="K24" s="33"/>
      <c r="L24" s="30"/>
      <c r="M24" s="30"/>
      <c r="N24" s="33"/>
      <c r="O24" s="30"/>
      <c r="P24" s="30"/>
      <c r="Q24" s="33"/>
      <c r="R24" s="5"/>
      <c r="S24" s="19"/>
      <c r="T24" s="61">
        <f>C24+D24+E24+F24+G24</f>
        <v>4683877.68</v>
      </c>
      <c r="U24" s="8"/>
      <c r="V24" s="5"/>
      <c r="W24" s="5"/>
      <c r="X24" s="5"/>
      <c r="Y24" s="5"/>
      <c r="Z24" s="5"/>
      <c r="AA24" s="5"/>
      <c r="AB24" s="26"/>
    </row>
    <row r="25" spans="1:28" s="3" customFormat="1" ht="21.6" thickBot="1">
      <c r="A25" s="201"/>
      <c r="B25" s="9"/>
      <c r="C25" s="79">
        <f>SUM(C23:C24)</f>
        <v>10792681.2</v>
      </c>
      <c r="D25" s="80">
        <f>SUM(D23:D24)</f>
        <v>-86535.2</v>
      </c>
      <c r="E25" s="79">
        <f>SUM(E23:E24)</f>
        <v>497024.19000000006</v>
      </c>
      <c r="F25" s="80">
        <f>SUM(F23:F24)</f>
        <v>6534.83</v>
      </c>
      <c r="G25" s="308">
        <v>4276.39</v>
      </c>
      <c r="H25" s="57"/>
      <c r="I25" s="30"/>
      <c r="J25" s="30"/>
      <c r="K25" s="33"/>
      <c r="L25" s="30"/>
      <c r="M25" s="30"/>
      <c r="N25" s="33"/>
      <c r="O25" s="30"/>
      <c r="P25" s="30"/>
      <c r="Q25" s="33"/>
      <c r="R25" s="5"/>
      <c r="S25" s="19"/>
      <c r="T25" s="34"/>
      <c r="U25" s="8"/>
      <c r="V25" s="5"/>
      <c r="W25" s="5"/>
      <c r="X25" s="5"/>
      <c r="Y25" s="5"/>
      <c r="Z25" s="5"/>
      <c r="AA25" s="5"/>
      <c r="AB25" s="26"/>
    </row>
    <row r="26" spans="1:28" s="3" customFormat="1" ht="21.6" thickTop="1">
      <c r="A26" s="202" t="s">
        <v>28</v>
      </c>
      <c r="B26" s="30"/>
      <c r="C26" s="30"/>
      <c r="D26" s="38"/>
      <c r="E26" s="38"/>
      <c r="F26" s="38"/>
      <c r="G26" s="38"/>
      <c r="H26" s="33"/>
      <c r="I26" s="30"/>
      <c r="J26" s="30"/>
      <c r="K26" s="33"/>
      <c r="L26" s="30"/>
      <c r="M26" s="30"/>
      <c r="N26" s="33"/>
      <c r="O26" s="30"/>
      <c r="P26" s="30"/>
      <c r="Q26" s="33"/>
      <c r="R26" s="5"/>
      <c r="S26" s="19"/>
      <c r="T26" s="34">
        <f>T4+T9+T23+T16</f>
        <v>103767307.72</v>
      </c>
      <c r="U26" s="8"/>
      <c r="V26" s="5"/>
      <c r="W26" s="5"/>
      <c r="X26" s="5"/>
      <c r="Y26" s="5"/>
      <c r="Z26" s="5"/>
      <c r="AA26" s="5"/>
      <c r="AB26" s="26"/>
    </row>
    <row r="27" spans="1:28" s="3" customFormat="1" ht="21">
      <c r="A27" s="202" t="s">
        <v>29</v>
      </c>
      <c r="B27" s="30"/>
      <c r="C27" s="30"/>
      <c r="D27" s="30"/>
      <c r="E27" s="30"/>
      <c r="F27" s="30"/>
      <c r="G27" s="30"/>
      <c r="H27" s="33"/>
      <c r="I27" s="30"/>
      <c r="J27" s="30"/>
      <c r="K27" s="33"/>
      <c r="L27" s="30"/>
      <c r="M27" s="30"/>
      <c r="N27" s="33"/>
      <c r="O27" s="30"/>
      <c r="P27" s="30"/>
      <c r="Q27" s="33"/>
      <c r="R27" s="5"/>
      <c r="S27" s="19"/>
      <c r="T27" s="76">
        <f>T5+T10+T24+T17</f>
        <v>78161947.63</v>
      </c>
      <c r="U27" s="8"/>
      <c r="V27" s="5"/>
      <c r="W27" s="5"/>
      <c r="X27" s="5"/>
      <c r="Y27" s="5"/>
      <c r="Z27" s="5"/>
      <c r="AA27" s="5"/>
      <c r="AB27" s="26"/>
    </row>
    <row r="28" spans="1:28" s="3" customFormat="1" ht="21">
      <c r="A28" s="201" t="s">
        <v>5</v>
      </c>
      <c r="B28" s="30"/>
      <c r="C28" s="30"/>
      <c r="D28" s="30"/>
      <c r="E28" s="30"/>
      <c r="F28" s="30"/>
      <c r="G28" s="30"/>
      <c r="H28" s="33"/>
      <c r="I28" s="30"/>
      <c r="J28" s="30"/>
      <c r="K28" s="33"/>
      <c r="L28" s="30"/>
      <c r="M28" s="30"/>
      <c r="N28" s="33"/>
      <c r="O28" s="30"/>
      <c r="P28" s="30"/>
      <c r="Q28" s="33"/>
      <c r="R28" s="36"/>
      <c r="S28" s="55"/>
      <c r="T28" s="34">
        <f>SUM(T26:T27)</f>
        <v>181929255.35</v>
      </c>
      <c r="U28" s="8"/>
      <c r="V28" s="96"/>
      <c r="W28" s="5"/>
      <c r="X28" s="5"/>
      <c r="Y28" s="5"/>
      <c r="Z28" s="5"/>
      <c r="AA28" s="5"/>
      <c r="AB28" s="26"/>
    </row>
    <row r="29" spans="1:28" s="3" customFormat="1" ht="21">
      <c r="A29" s="201"/>
      <c r="B29" s="30"/>
      <c r="C29" s="30"/>
      <c r="D29" s="30"/>
      <c r="E29" s="30"/>
      <c r="F29" s="30"/>
      <c r="G29" s="30"/>
      <c r="H29" s="33"/>
      <c r="I29" s="30"/>
      <c r="J29" s="30"/>
      <c r="K29" s="33"/>
      <c r="L29" s="30"/>
      <c r="M29" s="30"/>
      <c r="N29" s="33"/>
      <c r="O29" s="30"/>
      <c r="P29" s="30"/>
      <c r="Q29" s="33"/>
      <c r="R29" s="37"/>
      <c r="S29" s="56"/>
      <c r="T29" s="73"/>
      <c r="U29" s="8"/>
      <c r="V29" s="5"/>
      <c r="W29" s="5"/>
      <c r="X29" s="5"/>
      <c r="Y29" s="5"/>
      <c r="Z29" s="5"/>
      <c r="AA29" s="5"/>
      <c r="AB29" s="26"/>
    </row>
    <row r="30" spans="1:28" s="3" customFormat="1" ht="47.25" customHeight="1" thickBot="1">
      <c r="A30" s="206" t="s">
        <v>11</v>
      </c>
      <c r="B30" s="30"/>
      <c r="C30" s="30"/>
      <c r="D30" s="30"/>
      <c r="E30" s="30"/>
      <c r="F30" s="30"/>
      <c r="G30" s="30"/>
      <c r="H30" s="33"/>
      <c r="I30" s="30"/>
      <c r="J30" s="30"/>
      <c r="K30" s="33"/>
      <c r="L30" s="30"/>
      <c r="M30" s="30"/>
      <c r="N30" s="33"/>
      <c r="O30" s="30"/>
      <c r="P30" s="30"/>
      <c r="Q30" s="33"/>
      <c r="R30" s="5"/>
      <c r="S30" s="19"/>
      <c r="T30" s="43">
        <f>SUM(T28:T28)</f>
        <v>181929255.35</v>
      </c>
      <c r="U30" s="8"/>
      <c r="V30" s="96"/>
      <c r="W30" s="5"/>
      <c r="X30" s="5"/>
      <c r="Y30" s="5"/>
      <c r="Z30" s="5"/>
      <c r="AA30" s="5"/>
      <c r="AB30" s="26"/>
    </row>
    <row r="31" spans="1:28" s="3" customFormat="1" ht="16.2" thickTop="1">
      <c r="A31" s="112"/>
      <c r="B31" s="30"/>
      <c r="C31" s="30"/>
      <c r="D31" s="30"/>
      <c r="E31" s="30"/>
      <c r="F31" s="30"/>
      <c r="G31" s="30"/>
      <c r="H31" s="33"/>
      <c r="I31" s="30"/>
      <c r="J31" s="5"/>
      <c r="K31" s="19"/>
      <c r="L31" s="30"/>
      <c r="M31" s="30"/>
      <c r="N31" s="33"/>
      <c r="O31" s="30"/>
      <c r="P31" s="30"/>
      <c r="Q31" s="33"/>
      <c r="R31" s="8"/>
      <c r="S31" s="51"/>
      <c r="T31" s="8"/>
      <c r="U31" s="8"/>
      <c r="V31" s="5"/>
      <c r="W31" s="5"/>
      <c r="X31" s="5"/>
      <c r="Y31" s="5"/>
      <c r="Z31" s="5"/>
      <c r="AA31" s="5"/>
      <c r="AB31" s="26"/>
    </row>
    <row r="32" spans="1:28" s="3" customFormat="1" ht="15.6">
      <c r="A32" s="112"/>
      <c r="B32" s="30"/>
      <c r="C32" s="30"/>
      <c r="D32" s="30"/>
      <c r="E32" s="30"/>
      <c r="F32" s="30"/>
      <c r="G32" s="30"/>
      <c r="H32" s="33"/>
      <c r="I32" s="30"/>
      <c r="J32" s="5"/>
      <c r="K32" s="19"/>
      <c r="L32" s="30"/>
      <c r="M32" s="30"/>
      <c r="N32" s="33"/>
      <c r="O32" s="30"/>
      <c r="P32" s="30"/>
      <c r="Q32" s="33"/>
      <c r="R32" s="8"/>
      <c r="S32" s="51"/>
      <c r="T32" s="8"/>
      <c r="U32" s="8"/>
      <c r="V32" s="5"/>
      <c r="W32" s="5"/>
      <c r="X32" s="5"/>
      <c r="Y32" s="5"/>
      <c r="Z32" s="5"/>
      <c r="AA32" s="5"/>
      <c r="AB32" s="26"/>
    </row>
    <row r="33" spans="1:28" s="3" customFormat="1" ht="24.6">
      <c r="A33" s="112"/>
      <c r="B33" s="30"/>
      <c r="C33" s="30"/>
      <c r="D33" s="41"/>
      <c r="E33" s="40"/>
      <c r="F33" s="40"/>
      <c r="G33" s="30"/>
      <c r="H33" s="33"/>
      <c r="I33" s="30"/>
      <c r="J33" s="30"/>
      <c r="K33" s="33"/>
      <c r="L33" s="30"/>
      <c r="M33" s="30"/>
      <c r="N33" s="33"/>
      <c r="O33" s="30"/>
      <c r="P33" s="30"/>
      <c r="Q33" s="33"/>
      <c r="R33" s="8"/>
      <c r="S33" s="51"/>
      <c r="T33" s="8"/>
      <c r="U33" s="8"/>
      <c r="V33" s="5"/>
      <c r="W33" s="5"/>
      <c r="X33" s="5"/>
      <c r="Y33" s="5"/>
      <c r="Z33" s="5"/>
      <c r="AA33" s="5"/>
      <c r="AB33" s="26"/>
    </row>
    <row r="34" spans="1:28" s="3" customFormat="1" ht="24.6">
      <c r="A34" s="112"/>
      <c r="B34" s="30"/>
      <c r="C34" s="30"/>
      <c r="D34" s="41"/>
      <c r="E34" s="40"/>
      <c r="F34" s="40"/>
      <c r="G34" s="30"/>
      <c r="H34" s="33"/>
      <c r="I34" s="30"/>
      <c r="J34" s="30"/>
      <c r="K34" s="33"/>
      <c r="L34" s="30"/>
      <c r="M34" s="30"/>
      <c r="N34" s="33"/>
      <c r="O34" s="30"/>
      <c r="P34" s="30"/>
      <c r="Q34" s="33"/>
      <c r="R34" s="8"/>
      <c r="S34" s="51"/>
      <c r="T34" s="8"/>
      <c r="U34" s="8"/>
      <c r="V34" s="5"/>
      <c r="W34" s="5"/>
      <c r="X34" s="5"/>
      <c r="Y34" s="5"/>
      <c r="Z34" s="5"/>
      <c r="AA34" s="5"/>
      <c r="AB34" s="26"/>
    </row>
    <row r="35" spans="1:28" s="3" customFormat="1" ht="15.6">
      <c r="A35" s="112"/>
      <c r="B35" s="30"/>
      <c r="C35" s="30"/>
      <c r="D35" s="30"/>
      <c r="E35" s="30"/>
      <c r="F35" s="30"/>
      <c r="G35" s="30"/>
      <c r="H35" s="33"/>
      <c r="I35" s="30"/>
      <c r="J35" s="30"/>
      <c r="K35" s="33"/>
      <c r="L35" s="30"/>
      <c r="M35" s="30"/>
      <c r="N35" s="33"/>
      <c r="O35" s="30"/>
      <c r="P35" s="30"/>
      <c r="Q35" s="33"/>
      <c r="R35" s="8"/>
      <c r="S35" s="51"/>
      <c r="T35" s="8"/>
      <c r="U35" s="8"/>
      <c r="V35" s="5"/>
      <c r="W35" s="5"/>
      <c r="X35" s="5"/>
      <c r="Y35" s="5"/>
      <c r="Z35" s="5"/>
      <c r="AA35" s="5"/>
      <c r="AB35" s="26"/>
    </row>
    <row r="36" spans="1:28" s="3" customFormat="1" ht="15.6">
      <c r="A36" s="112"/>
      <c r="B36" s="30"/>
      <c r="C36" s="30"/>
      <c r="D36" s="30"/>
      <c r="E36" s="30"/>
      <c r="F36" s="30"/>
      <c r="G36" s="30"/>
      <c r="H36" s="33"/>
      <c r="I36" s="30"/>
      <c r="J36" s="30"/>
      <c r="K36" s="33"/>
      <c r="L36" s="30"/>
      <c r="M36" s="30"/>
      <c r="N36" s="33"/>
      <c r="O36" s="30"/>
      <c r="P36" s="30"/>
      <c r="Q36" s="33"/>
      <c r="R36" s="8"/>
      <c r="S36" s="51"/>
      <c r="T36" s="8"/>
      <c r="U36" s="8"/>
      <c r="V36" s="5"/>
      <c r="W36" s="5"/>
      <c r="X36" s="5"/>
      <c r="Y36" s="5"/>
      <c r="Z36" s="5"/>
      <c r="AA36" s="5"/>
      <c r="AB36" s="26"/>
    </row>
    <row r="37" spans="1:28" s="3" customFormat="1" ht="15.6">
      <c r="A37" s="112"/>
      <c r="B37" s="30"/>
      <c r="C37" s="30"/>
      <c r="D37" s="30"/>
      <c r="E37" s="30"/>
      <c r="F37" s="30"/>
      <c r="G37" s="30"/>
      <c r="H37" s="33"/>
      <c r="I37" s="30"/>
      <c r="J37" s="30"/>
      <c r="K37" s="33"/>
      <c r="L37" s="30"/>
      <c r="M37" s="30"/>
      <c r="N37" s="33"/>
      <c r="O37" s="30"/>
      <c r="P37" s="30"/>
      <c r="Q37" s="33"/>
      <c r="R37" s="8"/>
      <c r="S37" s="51"/>
      <c r="T37" s="8"/>
      <c r="U37" s="8"/>
      <c r="V37" s="5"/>
      <c r="W37" s="5"/>
      <c r="X37" s="5"/>
      <c r="Y37" s="5"/>
      <c r="Z37" s="5"/>
      <c r="AA37" s="5"/>
      <c r="AB37" s="26"/>
    </row>
    <row r="38" spans="1:28" s="3" customFormat="1" ht="21">
      <c r="A38" s="112"/>
      <c r="B38" s="30"/>
      <c r="C38" s="30"/>
      <c r="D38" s="39"/>
      <c r="E38" s="30"/>
      <c r="F38" s="30"/>
      <c r="G38" s="30"/>
      <c r="H38" s="33"/>
      <c r="I38" s="30"/>
      <c r="J38" s="30"/>
      <c r="K38" s="33"/>
      <c r="L38" s="30"/>
      <c r="M38" s="30"/>
      <c r="N38" s="33"/>
      <c r="O38" s="30"/>
      <c r="P38" s="30"/>
      <c r="Q38" s="33"/>
      <c r="R38" s="5"/>
      <c r="S38" s="19"/>
      <c r="T38" s="27"/>
      <c r="U38" s="8"/>
      <c r="V38" s="5"/>
      <c r="W38" s="5"/>
      <c r="X38" s="5"/>
      <c r="Y38" s="5"/>
      <c r="Z38" s="5"/>
      <c r="AA38" s="5"/>
      <c r="AB38" s="26"/>
    </row>
    <row r="39" spans="1:27" s="3" customFormat="1" ht="21">
      <c r="A39" s="112"/>
      <c r="B39" s="5"/>
      <c r="C39" s="5"/>
      <c r="D39" s="39"/>
      <c r="E39" s="5"/>
      <c r="F39" s="5"/>
      <c r="G39" s="5"/>
      <c r="H39" s="19"/>
      <c r="I39" s="5"/>
      <c r="J39" s="30"/>
      <c r="K39" s="33"/>
      <c r="L39" s="5"/>
      <c r="M39" s="5"/>
      <c r="N39" s="19"/>
      <c r="O39" s="5"/>
      <c r="P39" s="5"/>
      <c r="Q39" s="19"/>
      <c r="R39" s="5"/>
      <c r="S39" s="19"/>
      <c r="T39" s="28"/>
      <c r="U39" s="5"/>
      <c r="V39" s="5"/>
      <c r="W39" s="5"/>
      <c r="X39" s="5"/>
      <c r="Y39" s="5"/>
      <c r="Z39" s="5"/>
      <c r="AA39" s="5"/>
    </row>
    <row r="40" spans="1:27" s="3" customFormat="1" ht="22.8">
      <c r="A40" s="112"/>
      <c r="B40" s="5"/>
      <c r="C40" s="5"/>
      <c r="D40" s="5"/>
      <c r="E40" s="5"/>
      <c r="F40" s="5"/>
      <c r="G40" s="5"/>
      <c r="H40" s="19"/>
      <c r="I40" s="5"/>
      <c r="J40" s="30"/>
      <c r="K40" s="33"/>
      <c r="L40" s="5"/>
      <c r="M40" s="5"/>
      <c r="N40" s="19"/>
      <c r="O40" s="5"/>
      <c r="P40" s="5"/>
      <c r="Q40" s="19"/>
      <c r="R40" s="5"/>
      <c r="S40" s="19"/>
      <c r="T40" s="29"/>
      <c r="U40" s="5"/>
      <c r="V40" s="5"/>
      <c r="W40" s="5"/>
      <c r="X40" s="5"/>
      <c r="Y40" s="5"/>
      <c r="Z40" s="5"/>
      <c r="AA40" s="5"/>
    </row>
    <row r="41" spans="2:27" ht="17.4">
      <c r="B41" s="6"/>
      <c r="C41" s="6"/>
      <c r="D41" s="6"/>
      <c r="E41" s="6"/>
      <c r="F41" s="6"/>
      <c r="G41" s="6"/>
      <c r="H41" s="20"/>
      <c r="I41" s="6"/>
      <c r="J41" s="5"/>
      <c r="K41" s="19"/>
      <c r="L41" s="6"/>
      <c r="M41" s="6"/>
      <c r="N41" s="20"/>
      <c r="O41" s="6"/>
      <c r="P41" s="6"/>
      <c r="Q41" s="20"/>
      <c r="R41" s="6"/>
      <c r="S41" s="20"/>
      <c r="T41" s="12"/>
      <c r="U41" s="6"/>
      <c r="V41" s="6"/>
      <c r="W41" s="6"/>
      <c r="X41" s="6"/>
      <c r="Y41" s="6"/>
      <c r="Z41" s="6"/>
      <c r="AA41" s="6"/>
    </row>
    <row r="42" spans="2:27" ht="15.6">
      <c r="B42" s="6"/>
      <c r="C42" s="6"/>
      <c r="D42" s="6"/>
      <c r="E42" s="6"/>
      <c r="F42" s="6"/>
      <c r="G42" s="6"/>
      <c r="H42" s="20"/>
      <c r="I42" s="6"/>
      <c r="J42" s="5"/>
      <c r="K42" s="19"/>
      <c r="L42" s="6"/>
      <c r="M42" s="6"/>
      <c r="N42" s="20"/>
      <c r="O42" s="6"/>
      <c r="P42" s="6"/>
      <c r="Q42" s="20"/>
      <c r="R42" s="6"/>
      <c r="S42" s="20"/>
      <c r="T42" s="11"/>
      <c r="U42" s="6"/>
      <c r="V42" s="6"/>
      <c r="W42" s="6"/>
      <c r="X42" s="6"/>
      <c r="Y42" s="6"/>
      <c r="Z42" s="6"/>
      <c r="AA42" s="6"/>
    </row>
    <row r="43" spans="2:27" ht="15.6">
      <c r="B43" s="6"/>
      <c r="C43" s="6"/>
      <c r="D43" s="6"/>
      <c r="E43" s="6"/>
      <c r="F43" s="6"/>
      <c r="G43" s="6"/>
      <c r="H43" s="20"/>
      <c r="I43" s="6"/>
      <c r="J43" s="6"/>
      <c r="K43" s="20"/>
      <c r="L43" s="6"/>
      <c r="M43" s="6"/>
      <c r="N43" s="20"/>
      <c r="O43" s="6"/>
      <c r="P43" s="6"/>
      <c r="Q43" s="20"/>
      <c r="R43" s="6"/>
      <c r="S43" s="20"/>
      <c r="T43" s="11"/>
      <c r="U43" s="6"/>
      <c r="V43" s="6"/>
      <c r="W43" s="6"/>
      <c r="X43" s="6"/>
      <c r="Y43" s="6"/>
      <c r="Z43" s="6"/>
      <c r="AA43" s="6"/>
    </row>
    <row r="44" spans="2:27" ht="15.6">
      <c r="B44" s="6"/>
      <c r="C44" s="6"/>
      <c r="D44" s="6"/>
      <c r="E44" s="6"/>
      <c r="F44" s="6"/>
      <c r="G44" s="6"/>
      <c r="H44" s="20"/>
      <c r="I44" s="6"/>
      <c r="J44" s="6"/>
      <c r="K44" s="20"/>
      <c r="L44" s="6"/>
      <c r="M44" s="6"/>
      <c r="N44" s="20"/>
      <c r="O44" s="6"/>
      <c r="P44" s="6"/>
      <c r="Q44" s="20"/>
      <c r="R44" s="17"/>
      <c r="S44" s="49"/>
      <c r="U44" s="6"/>
      <c r="V44" s="6"/>
      <c r="W44" s="6"/>
      <c r="X44" s="6"/>
      <c r="Y44" s="6"/>
      <c r="Z44" s="6"/>
      <c r="AA44" s="6"/>
    </row>
    <row r="45" spans="2:27" ht="12.75">
      <c r="B45" s="6"/>
      <c r="C45" s="6"/>
      <c r="D45" s="6"/>
      <c r="E45" s="6"/>
      <c r="F45" s="6"/>
      <c r="G45" s="6"/>
      <c r="H45" s="20"/>
      <c r="I45" s="6"/>
      <c r="J45" s="6"/>
      <c r="K45" s="20"/>
      <c r="L45" s="6"/>
      <c r="M45" s="6"/>
      <c r="N45" s="20"/>
      <c r="O45" s="6"/>
      <c r="P45" s="6"/>
      <c r="Q45" s="20"/>
      <c r="R45" s="7"/>
      <c r="S45" s="50"/>
      <c r="T45" s="7"/>
      <c r="U45" s="6"/>
      <c r="V45" s="6"/>
      <c r="W45" s="6"/>
      <c r="X45" s="6"/>
      <c r="Y45" s="6"/>
      <c r="Z45" s="6"/>
      <c r="AA45" s="6"/>
    </row>
    <row r="46" spans="2:27" ht="12.75">
      <c r="B46" s="6"/>
      <c r="C46" s="6"/>
      <c r="D46" s="6"/>
      <c r="E46" s="6"/>
      <c r="F46" s="6"/>
      <c r="G46" s="6"/>
      <c r="H46" s="20"/>
      <c r="I46" s="6"/>
      <c r="J46" s="6"/>
      <c r="K46" s="20"/>
      <c r="L46" s="6"/>
      <c r="M46" s="6"/>
      <c r="N46" s="20"/>
      <c r="O46" s="6"/>
      <c r="P46" s="6"/>
      <c r="Q46" s="20"/>
      <c r="R46" s="7"/>
      <c r="S46" s="50"/>
      <c r="T46" s="7"/>
      <c r="U46" s="6"/>
      <c r="V46" s="6"/>
      <c r="W46" s="6"/>
      <c r="X46" s="6"/>
      <c r="Y46" s="6"/>
      <c r="Z46" s="6"/>
      <c r="AA46" s="6"/>
    </row>
    <row r="47" spans="2:27" ht="12.75">
      <c r="B47" s="6"/>
      <c r="C47" s="6"/>
      <c r="D47" s="6"/>
      <c r="E47" s="6"/>
      <c r="F47" s="6"/>
      <c r="G47" s="6"/>
      <c r="H47" s="20"/>
      <c r="I47" s="6"/>
      <c r="J47" s="6"/>
      <c r="K47" s="20"/>
      <c r="L47" s="6"/>
      <c r="M47" s="6"/>
      <c r="N47" s="20"/>
      <c r="O47" s="6"/>
      <c r="P47" s="6"/>
      <c r="Q47" s="20"/>
      <c r="R47" s="6"/>
      <c r="S47" s="20"/>
      <c r="T47" s="6"/>
      <c r="U47" s="6"/>
      <c r="V47" s="6"/>
      <c r="W47" s="6"/>
      <c r="X47" s="6"/>
      <c r="Y47" s="6"/>
      <c r="Z47" s="6"/>
      <c r="AA47" s="6"/>
    </row>
    <row r="48" spans="2:27" ht="12.75">
      <c r="B48" s="6"/>
      <c r="C48" s="6"/>
      <c r="D48" s="6"/>
      <c r="E48" s="6"/>
      <c r="F48" s="6"/>
      <c r="G48" s="6"/>
      <c r="H48" s="20"/>
      <c r="I48" s="6"/>
      <c r="J48" s="6"/>
      <c r="K48" s="20"/>
      <c r="L48" s="6"/>
      <c r="M48" s="6"/>
      <c r="N48" s="20"/>
      <c r="O48" s="6"/>
      <c r="P48" s="6"/>
      <c r="Q48" s="20"/>
      <c r="R48" s="6"/>
      <c r="S48" s="20"/>
      <c r="T48" s="6"/>
      <c r="U48" s="6"/>
      <c r="V48" s="6"/>
      <c r="W48" s="6"/>
      <c r="X48" s="6"/>
      <c r="Y48" s="6"/>
      <c r="Z48" s="6"/>
      <c r="AA48" s="6"/>
    </row>
    <row r="49" spans="2:27" ht="12.75">
      <c r="B49" s="6"/>
      <c r="C49" s="6"/>
      <c r="D49" s="6"/>
      <c r="E49" s="6"/>
      <c r="F49" s="6"/>
      <c r="G49" s="6"/>
      <c r="H49" s="20"/>
      <c r="I49" s="6"/>
      <c r="J49" s="6"/>
      <c r="K49" s="20"/>
      <c r="L49" s="6"/>
      <c r="M49" s="6"/>
      <c r="N49" s="20"/>
      <c r="O49" s="6"/>
      <c r="P49" s="6"/>
      <c r="Q49" s="20"/>
      <c r="R49" s="6"/>
      <c r="S49" s="20"/>
      <c r="T49" s="6"/>
      <c r="U49" s="6"/>
      <c r="V49" s="6"/>
      <c r="W49" s="6"/>
      <c r="X49" s="6"/>
      <c r="Y49" s="6"/>
      <c r="Z49" s="6"/>
      <c r="AA49" s="6"/>
    </row>
    <row r="50" spans="2:27" ht="12.75">
      <c r="B50" s="6"/>
      <c r="C50" s="6"/>
      <c r="D50" s="6"/>
      <c r="E50" s="6"/>
      <c r="F50" s="6"/>
      <c r="G50" s="6"/>
      <c r="H50" s="20"/>
      <c r="I50" s="6"/>
      <c r="J50" s="6"/>
      <c r="K50" s="20"/>
      <c r="L50" s="6"/>
      <c r="M50" s="6"/>
      <c r="N50" s="20"/>
      <c r="O50" s="6"/>
      <c r="P50" s="6"/>
      <c r="Q50" s="20"/>
      <c r="R50" s="6"/>
      <c r="S50" s="20"/>
      <c r="T50" s="6"/>
      <c r="U50" s="6"/>
      <c r="V50" s="6"/>
      <c r="W50" s="6"/>
      <c r="X50" s="6"/>
      <c r="Y50" s="6"/>
      <c r="Z50" s="6"/>
      <c r="AA50" s="6"/>
    </row>
    <row r="51" spans="2:27" ht="12.75">
      <c r="B51" s="6"/>
      <c r="C51" s="6"/>
      <c r="D51" s="6"/>
      <c r="E51" s="6"/>
      <c r="F51" s="6"/>
      <c r="G51" s="6"/>
      <c r="H51" s="20"/>
      <c r="I51" s="6"/>
      <c r="J51" s="6"/>
      <c r="K51" s="20"/>
      <c r="L51" s="6"/>
      <c r="M51" s="6"/>
      <c r="N51" s="20"/>
      <c r="O51" s="6"/>
      <c r="P51" s="6"/>
      <c r="Q51" s="20"/>
      <c r="R51" s="6"/>
      <c r="S51" s="20"/>
      <c r="T51" s="6"/>
      <c r="U51" s="6"/>
      <c r="V51" s="6"/>
      <c r="W51" s="6"/>
      <c r="X51" s="6"/>
      <c r="Y51" s="6"/>
      <c r="Z51" s="6"/>
      <c r="AA51" s="6"/>
    </row>
    <row r="52" spans="2:27" ht="12.75">
      <c r="B52" s="6"/>
      <c r="C52" s="6"/>
      <c r="D52" s="6"/>
      <c r="E52" s="6"/>
      <c r="F52" s="6"/>
      <c r="G52" s="6"/>
      <c r="H52" s="20"/>
      <c r="I52" s="6"/>
      <c r="J52" s="6"/>
      <c r="K52" s="20"/>
      <c r="L52" s="6"/>
      <c r="M52" s="6"/>
      <c r="N52" s="20"/>
      <c r="O52" s="6"/>
      <c r="P52" s="6"/>
      <c r="Q52" s="20"/>
      <c r="R52" s="6"/>
      <c r="S52" s="20"/>
      <c r="T52" s="6"/>
      <c r="U52" s="6"/>
      <c r="V52" s="6"/>
      <c r="W52" s="6"/>
      <c r="X52" s="6"/>
      <c r="Y52" s="6"/>
      <c r="Z52" s="6"/>
      <c r="AA52" s="6"/>
    </row>
    <row r="53" spans="2:27" ht="12.75">
      <c r="B53" s="6"/>
      <c r="C53" s="6"/>
      <c r="D53" s="6"/>
      <c r="E53" s="6"/>
      <c r="F53" s="6"/>
      <c r="G53" s="6"/>
      <c r="H53" s="20"/>
      <c r="I53" s="6"/>
      <c r="J53" s="6"/>
      <c r="K53" s="20"/>
      <c r="L53" s="6"/>
      <c r="M53" s="6"/>
      <c r="N53" s="20"/>
      <c r="O53" s="6"/>
      <c r="P53" s="6"/>
      <c r="Q53" s="20"/>
      <c r="R53" s="6"/>
      <c r="S53" s="20"/>
      <c r="T53" s="6"/>
      <c r="U53" s="6"/>
      <c r="V53" s="6"/>
      <c r="W53" s="6"/>
      <c r="X53" s="6"/>
      <c r="Y53" s="6"/>
      <c r="Z53" s="6"/>
      <c r="AA53" s="6"/>
    </row>
    <row r="54" spans="2:27" ht="12.75">
      <c r="B54" s="6"/>
      <c r="C54" s="6"/>
      <c r="D54" s="6"/>
      <c r="E54" s="6"/>
      <c r="F54" s="6"/>
      <c r="G54" s="6"/>
      <c r="H54" s="20"/>
      <c r="I54" s="6"/>
      <c r="J54" s="6"/>
      <c r="K54" s="20"/>
      <c r="L54" s="6"/>
      <c r="M54" s="6"/>
      <c r="N54" s="20"/>
      <c r="O54" s="6"/>
      <c r="P54" s="6"/>
      <c r="Q54" s="20"/>
      <c r="R54" s="6"/>
      <c r="S54" s="20"/>
      <c r="T54" s="6"/>
      <c r="U54" s="6"/>
      <c r="V54" s="6"/>
      <c r="W54" s="6"/>
      <c r="X54" s="6"/>
      <c r="Y54" s="6"/>
      <c r="Z54" s="6"/>
      <c r="AA54" s="6"/>
    </row>
    <row r="55" spans="2:27" ht="12.75">
      <c r="B55" s="6"/>
      <c r="C55" s="6"/>
      <c r="D55" s="6"/>
      <c r="E55" s="6"/>
      <c r="F55" s="6"/>
      <c r="G55" s="6"/>
      <c r="H55" s="20"/>
      <c r="I55" s="6"/>
      <c r="J55" s="6"/>
      <c r="K55" s="20"/>
      <c r="L55" s="6"/>
      <c r="M55" s="6"/>
      <c r="N55" s="20"/>
      <c r="O55" s="6"/>
      <c r="P55" s="6"/>
      <c r="Q55" s="20"/>
      <c r="R55" s="6"/>
      <c r="S55" s="20"/>
      <c r="T55" s="6"/>
      <c r="U55" s="6"/>
      <c r="V55" s="6"/>
      <c r="W55" s="6"/>
      <c r="X55" s="6"/>
      <c r="Y55" s="6"/>
      <c r="Z55" s="6"/>
      <c r="AA55" s="6"/>
    </row>
    <row r="56" spans="2:27" ht="12.75">
      <c r="B56" s="6"/>
      <c r="C56" s="6"/>
      <c r="D56" s="6"/>
      <c r="E56" s="6"/>
      <c r="F56" s="6"/>
      <c r="G56" s="6"/>
      <c r="H56" s="20"/>
      <c r="I56" s="6"/>
      <c r="J56" s="6"/>
      <c r="K56" s="20"/>
      <c r="L56" s="6"/>
      <c r="M56" s="6"/>
      <c r="N56" s="20"/>
      <c r="O56" s="6"/>
      <c r="P56" s="6"/>
      <c r="Q56" s="20"/>
      <c r="R56" s="6"/>
      <c r="S56" s="20"/>
      <c r="T56" s="6"/>
      <c r="U56" s="6"/>
      <c r="V56" s="6"/>
      <c r="W56" s="6"/>
      <c r="X56" s="6"/>
      <c r="Y56" s="6"/>
      <c r="Z56" s="6"/>
      <c r="AA56" s="6"/>
    </row>
    <row r="57" spans="2:27" ht="12.75">
      <c r="B57" s="6"/>
      <c r="C57" s="6"/>
      <c r="D57" s="6"/>
      <c r="E57" s="6"/>
      <c r="F57" s="6"/>
      <c r="G57" s="6"/>
      <c r="H57" s="20"/>
      <c r="I57" s="6"/>
      <c r="J57" s="6"/>
      <c r="K57" s="20"/>
      <c r="L57" s="6"/>
      <c r="M57" s="6"/>
      <c r="N57" s="20"/>
      <c r="O57" s="6"/>
      <c r="P57" s="6"/>
      <c r="Q57" s="20"/>
      <c r="R57" s="6"/>
      <c r="S57" s="20"/>
      <c r="T57" s="6"/>
      <c r="U57" s="6"/>
      <c r="V57" s="6"/>
      <c r="W57" s="6"/>
      <c r="X57" s="6"/>
      <c r="Y57" s="6"/>
      <c r="Z57" s="6"/>
      <c r="AA57" s="6"/>
    </row>
    <row r="58" spans="2:27" ht="12.75">
      <c r="B58" s="6"/>
      <c r="C58" s="6"/>
      <c r="D58" s="6"/>
      <c r="E58" s="6"/>
      <c r="F58" s="6"/>
      <c r="G58" s="6"/>
      <c r="H58" s="20"/>
      <c r="I58" s="6"/>
      <c r="J58" s="6"/>
      <c r="K58" s="20"/>
      <c r="L58" s="6"/>
      <c r="M58" s="6"/>
      <c r="N58" s="20"/>
      <c r="O58" s="6"/>
      <c r="P58" s="6"/>
      <c r="Q58" s="20"/>
      <c r="R58" s="6"/>
      <c r="S58" s="20"/>
      <c r="T58" s="6"/>
      <c r="U58" s="6"/>
      <c r="V58" s="6"/>
      <c r="W58" s="6"/>
      <c r="X58" s="6"/>
      <c r="Y58" s="6"/>
      <c r="Z58" s="6"/>
      <c r="AA58" s="6"/>
    </row>
    <row r="59" spans="2:27" ht="12.75">
      <c r="B59" s="6"/>
      <c r="C59" s="6"/>
      <c r="D59" s="6"/>
      <c r="E59" s="6"/>
      <c r="F59" s="6"/>
      <c r="G59" s="6"/>
      <c r="H59" s="20"/>
      <c r="I59" s="6"/>
      <c r="J59" s="6"/>
      <c r="K59" s="20"/>
      <c r="L59" s="6"/>
      <c r="M59" s="6"/>
      <c r="N59" s="20"/>
      <c r="O59" s="6"/>
      <c r="P59" s="6"/>
      <c r="Q59" s="20"/>
      <c r="R59" s="6"/>
      <c r="S59" s="20"/>
      <c r="T59" s="6"/>
      <c r="U59" s="6"/>
      <c r="V59" s="6"/>
      <c r="W59" s="6"/>
      <c r="X59" s="6"/>
      <c r="Y59" s="6"/>
      <c r="Z59" s="6"/>
      <c r="AA59" s="6"/>
    </row>
    <row r="60" spans="2:27" ht="12.75">
      <c r="B60" s="6"/>
      <c r="C60" s="6"/>
      <c r="D60" s="6"/>
      <c r="E60" s="6"/>
      <c r="F60" s="6"/>
      <c r="G60" s="6"/>
      <c r="H60" s="20"/>
      <c r="I60" s="6"/>
      <c r="J60" s="6"/>
      <c r="K60" s="20"/>
      <c r="L60" s="6"/>
      <c r="M60" s="6"/>
      <c r="N60" s="20"/>
      <c r="O60" s="6"/>
      <c r="P60" s="6"/>
      <c r="Q60" s="20"/>
      <c r="R60" s="6"/>
      <c r="S60" s="20"/>
      <c r="T60" s="6"/>
      <c r="U60" s="6"/>
      <c r="V60" s="6"/>
      <c r="W60" s="6"/>
      <c r="X60" s="6"/>
      <c r="Y60" s="6"/>
      <c r="Z60" s="6"/>
      <c r="AA60" s="6"/>
    </row>
    <row r="61" spans="2:27" ht="12.75">
      <c r="B61" s="6"/>
      <c r="C61" s="6"/>
      <c r="D61" s="6"/>
      <c r="E61" s="6"/>
      <c r="F61" s="6"/>
      <c r="G61" s="6"/>
      <c r="H61" s="20"/>
      <c r="I61" s="6"/>
      <c r="J61" s="6"/>
      <c r="K61" s="20"/>
      <c r="L61" s="6"/>
      <c r="M61" s="6"/>
      <c r="N61" s="20"/>
      <c r="O61" s="6"/>
      <c r="P61" s="6"/>
      <c r="Q61" s="20"/>
      <c r="R61" s="6"/>
      <c r="S61" s="20"/>
      <c r="T61" s="6"/>
      <c r="U61" s="6"/>
      <c r="V61" s="6"/>
      <c r="W61" s="6"/>
      <c r="X61" s="6"/>
      <c r="Y61" s="6"/>
      <c r="Z61" s="6"/>
      <c r="AA61" s="6"/>
    </row>
    <row r="62" spans="2:27" ht="12.75">
      <c r="B62" s="6"/>
      <c r="C62" s="6"/>
      <c r="D62" s="6"/>
      <c r="E62" s="6"/>
      <c r="F62" s="6"/>
      <c r="G62" s="6"/>
      <c r="H62" s="20"/>
      <c r="I62" s="6"/>
      <c r="J62" s="6"/>
      <c r="K62" s="20"/>
      <c r="L62" s="6"/>
      <c r="M62" s="6"/>
      <c r="N62" s="20"/>
      <c r="O62" s="6"/>
      <c r="P62" s="6"/>
      <c r="Q62" s="20"/>
      <c r="R62" s="6"/>
      <c r="S62" s="20"/>
      <c r="T62" s="6"/>
      <c r="U62" s="6"/>
      <c r="V62" s="6"/>
      <c r="W62" s="6"/>
      <c r="X62" s="6"/>
      <c r="Y62" s="6"/>
      <c r="Z62" s="6"/>
      <c r="AA62" s="6"/>
    </row>
    <row r="63" spans="2:27" ht="12.75">
      <c r="B63" s="6"/>
      <c r="C63" s="6"/>
      <c r="D63" s="6"/>
      <c r="E63" s="6"/>
      <c r="F63" s="6"/>
      <c r="G63" s="6"/>
      <c r="H63" s="20"/>
      <c r="I63" s="6"/>
      <c r="J63" s="6"/>
      <c r="K63" s="20"/>
      <c r="L63" s="6"/>
      <c r="M63" s="6"/>
      <c r="N63" s="20"/>
      <c r="O63" s="6"/>
      <c r="P63" s="6"/>
      <c r="Q63" s="20"/>
      <c r="R63" s="6"/>
      <c r="S63" s="20"/>
      <c r="T63" s="6"/>
      <c r="U63" s="6"/>
      <c r="V63" s="6"/>
      <c r="W63" s="6"/>
      <c r="X63" s="6"/>
      <c r="Y63" s="6"/>
      <c r="Z63" s="6"/>
      <c r="AA63" s="6"/>
    </row>
    <row r="64" spans="2:27" ht="12.75">
      <c r="B64" s="6"/>
      <c r="C64" s="6"/>
      <c r="D64" s="6"/>
      <c r="E64" s="6"/>
      <c r="F64" s="6"/>
      <c r="G64" s="6"/>
      <c r="H64" s="20"/>
      <c r="I64" s="6"/>
      <c r="J64" s="6"/>
      <c r="K64" s="20"/>
      <c r="L64" s="6"/>
      <c r="M64" s="6"/>
      <c r="N64" s="20"/>
      <c r="O64" s="6"/>
      <c r="P64" s="6"/>
      <c r="Q64" s="20"/>
      <c r="R64" s="6"/>
      <c r="S64" s="20"/>
      <c r="T64" s="6"/>
      <c r="U64" s="6"/>
      <c r="V64" s="6"/>
      <c r="W64" s="6"/>
      <c r="X64" s="6"/>
      <c r="Y64" s="6"/>
      <c r="Z64" s="6"/>
      <c r="AA64" s="6"/>
    </row>
    <row r="65" spans="2:27" ht="12.75">
      <c r="B65" s="6"/>
      <c r="C65" s="6"/>
      <c r="D65" s="6"/>
      <c r="E65" s="6"/>
      <c r="F65" s="6"/>
      <c r="G65" s="6"/>
      <c r="H65" s="20"/>
      <c r="I65" s="6"/>
      <c r="J65" s="6"/>
      <c r="K65" s="20"/>
      <c r="L65" s="6"/>
      <c r="M65" s="6"/>
      <c r="N65" s="20"/>
      <c r="O65" s="6"/>
      <c r="P65" s="6"/>
      <c r="Q65" s="20"/>
      <c r="R65" s="6"/>
      <c r="S65" s="20"/>
      <c r="T65" s="6"/>
      <c r="U65" s="6"/>
      <c r="V65" s="6"/>
      <c r="W65" s="6"/>
      <c r="X65" s="6"/>
      <c r="Y65" s="6"/>
      <c r="Z65" s="6"/>
      <c r="AA65" s="6"/>
    </row>
    <row r="66" spans="2:27" ht="12.75">
      <c r="B66" s="6"/>
      <c r="C66" s="6"/>
      <c r="D66" s="6"/>
      <c r="E66" s="6"/>
      <c r="F66" s="6"/>
      <c r="G66" s="6"/>
      <c r="H66" s="20"/>
      <c r="I66" s="6"/>
      <c r="J66" s="6"/>
      <c r="K66" s="20"/>
      <c r="L66" s="6"/>
      <c r="M66" s="6"/>
      <c r="N66" s="20"/>
      <c r="O66" s="6"/>
      <c r="P66" s="6"/>
      <c r="Q66" s="20"/>
      <c r="R66" s="6"/>
      <c r="S66" s="20"/>
      <c r="T66" s="6"/>
      <c r="U66" s="6"/>
      <c r="V66" s="6"/>
      <c r="W66" s="6"/>
      <c r="X66" s="6"/>
      <c r="Y66" s="6"/>
      <c r="Z66" s="6"/>
      <c r="AA66" s="6"/>
    </row>
    <row r="67" spans="2:27" ht="12.75">
      <c r="B67" s="6"/>
      <c r="C67" s="6"/>
      <c r="D67" s="6"/>
      <c r="E67" s="6"/>
      <c r="F67" s="6"/>
      <c r="G67" s="6"/>
      <c r="H67" s="20"/>
      <c r="I67" s="6"/>
      <c r="J67" s="6"/>
      <c r="K67" s="20"/>
      <c r="L67" s="6"/>
      <c r="M67" s="6"/>
      <c r="N67" s="20"/>
      <c r="O67" s="6"/>
      <c r="P67" s="6"/>
      <c r="Q67" s="20"/>
      <c r="R67" s="6"/>
      <c r="S67" s="20"/>
      <c r="T67" s="6"/>
      <c r="U67" s="6"/>
      <c r="V67" s="6"/>
      <c r="W67" s="6"/>
      <c r="X67" s="6"/>
      <c r="Y67" s="6"/>
      <c r="Z67" s="6"/>
      <c r="AA67" s="6"/>
    </row>
    <row r="68" spans="2:27" ht="12.75">
      <c r="B68" s="6"/>
      <c r="C68" s="6"/>
      <c r="D68" s="6"/>
      <c r="E68" s="6"/>
      <c r="F68" s="6"/>
      <c r="G68" s="6"/>
      <c r="H68" s="20"/>
      <c r="I68" s="6"/>
      <c r="J68" s="6"/>
      <c r="K68" s="20"/>
      <c r="L68" s="6"/>
      <c r="M68" s="6"/>
      <c r="N68" s="20"/>
      <c r="O68" s="6"/>
      <c r="P68" s="6"/>
      <c r="Q68" s="20"/>
      <c r="R68" s="6"/>
      <c r="S68" s="20"/>
      <c r="T68" s="6"/>
      <c r="U68" s="6"/>
      <c r="V68" s="6"/>
      <c r="W68" s="6"/>
      <c r="X68" s="6"/>
      <c r="Y68" s="6"/>
      <c r="Z68" s="6"/>
      <c r="AA68" s="6"/>
    </row>
    <row r="69" spans="2:27" ht="12.75">
      <c r="B69" s="6"/>
      <c r="C69" s="6"/>
      <c r="D69" s="6"/>
      <c r="E69" s="6"/>
      <c r="F69" s="6"/>
      <c r="G69" s="6"/>
      <c r="H69" s="20"/>
      <c r="I69" s="6"/>
      <c r="J69" s="6"/>
      <c r="K69" s="20"/>
      <c r="L69" s="6"/>
      <c r="M69" s="6"/>
      <c r="N69" s="20"/>
      <c r="O69" s="6"/>
      <c r="P69" s="6"/>
      <c r="Q69" s="20"/>
      <c r="R69" s="6"/>
      <c r="S69" s="20"/>
      <c r="T69" s="6"/>
      <c r="U69" s="6"/>
      <c r="V69" s="6"/>
      <c r="W69" s="6"/>
      <c r="X69" s="6"/>
      <c r="Y69" s="6"/>
      <c r="Z69" s="6"/>
      <c r="AA69" s="6"/>
    </row>
    <row r="70" spans="2:27" ht="12.75">
      <c r="B70" s="6"/>
      <c r="C70" s="6"/>
      <c r="D70" s="6"/>
      <c r="E70" s="6"/>
      <c r="F70" s="6"/>
      <c r="G70" s="6"/>
      <c r="H70" s="20"/>
      <c r="I70" s="6"/>
      <c r="J70" s="6"/>
      <c r="K70" s="20"/>
      <c r="L70" s="6"/>
      <c r="M70" s="6"/>
      <c r="N70" s="20"/>
      <c r="O70" s="6"/>
      <c r="P70" s="6"/>
      <c r="Q70" s="20"/>
      <c r="R70" s="6"/>
      <c r="S70" s="20"/>
      <c r="T70" s="6"/>
      <c r="U70" s="6"/>
      <c r="V70" s="6"/>
      <c r="W70" s="6"/>
      <c r="X70" s="6"/>
      <c r="Y70" s="6"/>
      <c r="Z70" s="6"/>
      <c r="AA70" s="6"/>
    </row>
    <row r="71" spans="10:11" ht="12.75">
      <c r="J71" s="6"/>
      <c r="K71" s="20"/>
    </row>
    <row r="72" spans="10:11" ht="12.75">
      <c r="J72" s="6"/>
      <c r="K72" s="20"/>
    </row>
  </sheetData>
  <mergeCells count="8">
    <mergeCell ref="T1:T3"/>
    <mergeCell ref="D1:D3"/>
    <mergeCell ref="E1:E3"/>
    <mergeCell ref="F1:F3"/>
    <mergeCell ref="G1:G3"/>
    <mergeCell ref="I2:J2"/>
    <mergeCell ref="L2:M2"/>
    <mergeCell ref="O2:P2"/>
  </mergeCells>
  <printOptions horizontalCentered="1"/>
  <pageMargins left="0.375" right="0.375" top="1.875" bottom="1.25" header="0.875" footer="0.375"/>
  <pageSetup fitToWidth="2" horizontalDpi="600" verticalDpi="600" orientation="landscape" scale="48" r:id="rId1"/>
  <headerFooter>
    <oddHeader>&amp;C&amp;"Century Schoolbook,Bold"&amp;16Big Rivers Electric Corporation
Case No. 2012-00nnn
Revenue Summary - Smelters
Base Period
May 2012-October 2012</oddHeader>
    <oddFooter>&amp;L&amp;"Century Schoolbook,Bold"&amp;14Case No. 2012-00nnn
Exhibit 59-807 KAR 5:001 Section 10(10)(m)
Sponsoring Witness:  Ms. Billie Richert
page &amp;P of &amp;N</oddFooter>
  </headerFooter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P26"/>
  <sheetViews>
    <sheetView zoomScale="90" zoomScaleNormal="90" zoomScaleSheetLayoutView="50" workbookViewId="0" topLeftCell="A1">
      <selection activeCell="Z6" sqref="Z6"/>
    </sheetView>
  </sheetViews>
  <sheetFormatPr defaultColWidth="11.00390625" defaultRowHeight="12.75"/>
  <cols>
    <col min="1" max="1" width="29.57421875" style="98" customWidth="1"/>
    <col min="2" max="3" width="16.57421875" style="98" customWidth="1"/>
    <col min="4" max="4" width="15.8515625" style="98" customWidth="1"/>
    <col min="5" max="5" width="16.28125" style="98" customWidth="1"/>
    <col min="6" max="6" width="19.57421875" style="98" bestFit="1" customWidth="1"/>
    <col min="7" max="7" width="17.8515625" style="98" customWidth="1"/>
    <col min="8" max="8" width="18.7109375" style="98" customWidth="1"/>
    <col min="9" max="9" width="19.28125" style="98" customWidth="1"/>
    <col min="10" max="10" width="16.140625" style="98" customWidth="1"/>
    <col min="11" max="11" width="18.140625" style="98" customWidth="1"/>
    <col min="12" max="12" width="17.140625" style="98" customWidth="1"/>
    <col min="13" max="13" width="15.421875" style="98" customWidth="1"/>
    <col min="14" max="14" width="22.00390625" style="98" customWidth="1"/>
    <col min="15" max="15" width="14.57421875" style="98" customWidth="1"/>
    <col min="16" max="16" width="3.00390625" style="99" customWidth="1"/>
    <col min="17" max="17" width="21.00390625" style="98" customWidth="1"/>
    <col min="18" max="18" width="11.57421875" style="98" bestFit="1" customWidth="1"/>
    <col min="19" max="19" width="3.28125" style="99" customWidth="1"/>
    <col min="20" max="20" width="21.28125" style="98" customWidth="1"/>
    <col min="21" max="21" width="15.57421875" style="98" customWidth="1"/>
    <col min="22" max="22" width="2.8515625" style="99" customWidth="1"/>
    <col min="23" max="23" width="22.7109375" style="98" bestFit="1" customWidth="1"/>
    <col min="24" max="24" width="2.421875" style="99" customWidth="1"/>
    <col min="25" max="26" width="22.57421875" style="98" customWidth="1"/>
    <col min="27" max="28" width="11.00390625" style="98" customWidth="1"/>
    <col min="29" max="29" width="14.00390625" style="98" bestFit="1" customWidth="1"/>
    <col min="30" max="30" width="17.421875" style="98" customWidth="1"/>
    <col min="31" max="32" width="11.00390625" style="98" customWidth="1"/>
    <col min="33" max="33" width="15.140625" style="98" customWidth="1"/>
    <col min="34" max="16384" width="11.00390625" style="98" customWidth="1"/>
  </cols>
  <sheetData>
    <row r="1" spans="8:33" s="112" customFormat="1" ht="15.6">
      <c r="H1" s="188"/>
      <c r="I1" s="188"/>
      <c r="J1" s="188"/>
      <c r="K1" s="188"/>
      <c r="L1" s="188"/>
      <c r="M1" s="188"/>
      <c r="N1" s="188"/>
      <c r="O1" s="188"/>
      <c r="P1" s="190"/>
      <c r="Q1" s="188"/>
      <c r="R1" s="188"/>
      <c r="S1" s="190"/>
      <c r="T1" s="188"/>
      <c r="U1" s="188"/>
      <c r="V1" s="190"/>
      <c r="W1" s="119"/>
      <c r="X1" s="186"/>
      <c r="Y1" s="119"/>
      <c r="Z1" s="119"/>
      <c r="AG1" s="119"/>
    </row>
    <row r="2" spans="2:42" s="112" customFormat="1" ht="15.6">
      <c r="B2" s="324" t="s">
        <v>48</v>
      </c>
      <c r="C2" s="324" t="s">
        <v>51</v>
      </c>
      <c r="D2" s="324" t="s">
        <v>50</v>
      </c>
      <c r="E2" s="324" t="s">
        <v>49</v>
      </c>
      <c r="F2" s="324" t="s">
        <v>52</v>
      </c>
      <c r="G2" s="325" t="s">
        <v>46</v>
      </c>
      <c r="H2" s="326" t="s">
        <v>39</v>
      </c>
      <c r="I2" s="326" t="s">
        <v>40</v>
      </c>
      <c r="J2" s="326" t="s">
        <v>45</v>
      </c>
      <c r="K2" s="326" t="s">
        <v>53</v>
      </c>
      <c r="L2" s="326" t="s">
        <v>54</v>
      </c>
      <c r="M2" s="326" t="s">
        <v>55</v>
      </c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</row>
    <row r="3" spans="1:24" ht="12.75">
      <c r="A3" s="98" t="s">
        <v>41</v>
      </c>
      <c r="P3" s="98"/>
      <c r="S3" s="98"/>
      <c r="V3" s="98"/>
      <c r="X3" s="98"/>
    </row>
    <row r="4" spans="1:42" ht="12.75">
      <c r="A4" s="98" t="s">
        <v>42</v>
      </c>
      <c r="B4" s="322">
        <f>+'[1]Stmts RUS'!K9*1000000</f>
        <v>360309.427</v>
      </c>
      <c r="C4" s="322">
        <f>+'[1]Stmts RUS'!L9*1000000</f>
        <v>349518.413</v>
      </c>
      <c r="D4" s="322">
        <f>+'[1]Stmts RUS'!M9*1000000</f>
        <v>360737.741</v>
      </c>
      <c r="E4" s="322">
        <f>+'[1]Stmts RUS'!N9*1000000</f>
        <v>359098.79</v>
      </c>
      <c r="F4" s="322">
        <f>+'[1]Stmts RUS'!O9*1000000</f>
        <v>345807.99299999996</v>
      </c>
      <c r="G4" s="322">
        <f>+'[1]Stmts RUS'!P9*1000000</f>
        <v>356530.637</v>
      </c>
      <c r="H4" s="322">
        <f>+'[1]Stmts RUS'!Q9*1000000</f>
        <v>340099.2</v>
      </c>
      <c r="I4" s="322">
        <f>+'[1]Stmts RUS'!R9*1000000</f>
        <v>351435.83999999997</v>
      </c>
      <c r="J4" s="327">
        <f>+'[2]Stmts RUS'!G9*1000000</f>
        <v>351435.83999999997</v>
      </c>
      <c r="K4" s="327">
        <f>+'[2]Stmts RUS'!H9*1000000</f>
        <v>317425.92</v>
      </c>
      <c r="L4" s="327">
        <f>+'[2]Stmts RUS'!I9*1000000</f>
        <v>351435.83999999997</v>
      </c>
      <c r="M4" s="327">
        <f>+'[2]Stmts RUS'!J9*1000000</f>
        <v>340099.2</v>
      </c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</row>
    <row r="5" spans="1:42" ht="12.75">
      <c r="A5" s="98" t="s">
        <v>43</v>
      </c>
      <c r="B5" s="323">
        <f>+'[1]Stmts RUS'!K10*1000000</f>
        <v>273472.632</v>
      </c>
      <c r="C5" s="323">
        <f>+'[1]Stmts RUS'!L10*1000000</f>
        <v>260888.602</v>
      </c>
      <c r="D5" s="323">
        <f>+'[1]Stmts RUS'!M10*1000000</f>
        <v>268499.23199999996</v>
      </c>
      <c r="E5" s="323">
        <f>+'[1]Stmts RUS'!N10*1000000</f>
        <v>262775.146</v>
      </c>
      <c r="F5" s="323">
        <f>+'[1]Stmts RUS'!O10*1000000</f>
        <v>256935.844</v>
      </c>
      <c r="G5" s="323">
        <f>+'[1]Stmts RUS'!P10*1000000</f>
        <v>268842.24</v>
      </c>
      <c r="H5" s="323">
        <f>+'[1]Stmts RUS'!Q10*1000000</f>
        <v>259660.79999999996</v>
      </c>
      <c r="I5" s="323">
        <f>+'[1]Stmts RUS'!R10*1000000</f>
        <v>268316.16000000003</v>
      </c>
      <c r="J5" s="323">
        <f>+'[2]Stmts RUS'!G10*1000000</f>
        <v>275607.36</v>
      </c>
      <c r="K5" s="323">
        <f>+'[2]Stmts RUS'!H10*1000000</f>
        <v>248935.68</v>
      </c>
      <c r="L5" s="323">
        <f>+'[2]Stmts RUS'!I10*1000000</f>
        <v>275607.36</v>
      </c>
      <c r="M5" s="323">
        <f>+'[2]Stmts RUS'!J10*1000000</f>
        <v>266716.8</v>
      </c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</row>
    <row r="6" spans="1:42" ht="12.75">
      <c r="A6" s="98" t="s">
        <v>44</v>
      </c>
      <c r="B6" s="322">
        <f aca="true" t="shared" si="0" ref="B6:F6">+B4+B5</f>
        <v>633782.059</v>
      </c>
      <c r="C6" s="322">
        <f t="shared" si="0"/>
        <v>610407.015</v>
      </c>
      <c r="D6" s="322">
        <f t="shared" si="0"/>
        <v>629236.973</v>
      </c>
      <c r="E6" s="322">
        <f t="shared" si="0"/>
        <v>621873.936</v>
      </c>
      <c r="F6" s="322">
        <f t="shared" si="0"/>
        <v>602743.8369999999</v>
      </c>
      <c r="G6" s="322">
        <f>+G4+G5</f>
        <v>625372.877</v>
      </c>
      <c r="H6" s="322">
        <f>+H4+H5</f>
        <v>599760</v>
      </c>
      <c r="I6" s="322">
        <f>+I4+I5</f>
        <v>619752</v>
      </c>
      <c r="J6" s="322">
        <f>+J4+J5</f>
        <v>627043.2</v>
      </c>
      <c r="K6" s="322">
        <f aca="true" t="shared" si="1" ref="K6:M6">+K4+K5</f>
        <v>566361.6</v>
      </c>
      <c r="L6" s="322">
        <f t="shared" si="1"/>
        <v>627043.2</v>
      </c>
      <c r="M6" s="322">
        <f t="shared" si="1"/>
        <v>606816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</row>
    <row r="7" spans="2:42" s="112" customFormat="1" ht="15.6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</row>
    <row r="8" spans="1:42" s="112" customFormat="1" ht="15.6">
      <c r="A8" s="317" t="s">
        <v>31</v>
      </c>
      <c r="B8" s="316">
        <f>+'[1]Stmts RUS'!K71</f>
        <v>38.88807626760069</v>
      </c>
      <c r="C8" s="316">
        <f>+'[1]Stmts RUS'!L71</f>
        <v>39.08720627484925</v>
      </c>
      <c r="D8" s="316">
        <f>+'[1]Stmts RUS'!M71</f>
        <v>39.12659273692265</v>
      </c>
      <c r="E8" s="316">
        <f>+'[1]Stmts RUS'!N71</f>
        <v>39.28198351164214</v>
      </c>
      <c r="F8" s="316">
        <f>+'[1]Stmts RUS'!O71</f>
        <v>39.32407364638222</v>
      </c>
      <c r="G8" s="316">
        <f>+'[1]Stmts RUS'!P71</f>
        <v>39.1765100780538</v>
      </c>
      <c r="H8" s="316">
        <f>+'[1]Stmts RUS'!Q71</f>
        <v>39.392002341920374</v>
      </c>
      <c r="I8" s="316">
        <f>+'[1]Stmts RUS'!R71</f>
        <v>39.392002341920374</v>
      </c>
      <c r="J8" s="328">
        <f>+'[2]Stmts RUS'!G71</f>
        <v>39.43210371819961</v>
      </c>
      <c r="K8" s="328">
        <f>+'[2]Stmts RUS'!H71</f>
        <v>39.43210371819961</v>
      </c>
      <c r="L8" s="328">
        <f>+'[2]Stmts RUS'!I71</f>
        <v>39.43210371819961</v>
      </c>
      <c r="M8" s="328">
        <f>+'[2]Stmts RUS'!J71</f>
        <v>39.43210371819961</v>
      </c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</row>
    <row r="9" spans="1:42" s="112" customFormat="1" ht="16.5" customHeight="1">
      <c r="A9" s="317" t="s">
        <v>32</v>
      </c>
      <c r="B9" s="321">
        <f>+'[1]Stmts RUS'!K72</f>
        <v>2.95</v>
      </c>
      <c r="C9" s="321">
        <f>+'[1]Stmts RUS'!L72</f>
        <v>2.95</v>
      </c>
      <c r="D9" s="321">
        <f>+'[1]Stmts RUS'!M72</f>
        <v>2.95</v>
      </c>
      <c r="E9" s="321">
        <f>+'[1]Stmts RUS'!N72</f>
        <v>2.95</v>
      </c>
      <c r="F9" s="321">
        <f>+'[1]Stmts RUS'!O72</f>
        <v>2.95</v>
      </c>
      <c r="G9" s="321">
        <f>+'[1]Stmts RUS'!P72</f>
        <v>2.95</v>
      </c>
      <c r="H9" s="321">
        <f>+'[1]Stmts RUS'!Q72</f>
        <v>2.95</v>
      </c>
      <c r="I9" s="321">
        <f>+'[1]Stmts RUS'!R72</f>
        <v>2.95</v>
      </c>
      <c r="J9" s="321">
        <f>+'[2]Stmts RUS'!G72</f>
        <v>2.95</v>
      </c>
      <c r="K9" s="321">
        <f>+'[2]Stmts RUS'!H72</f>
        <v>2.95</v>
      </c>
      <c r="L9" s="321">
        <f>+'[2]Stmts RUS'!I72</f>
        <v>2.95</v>
      </c>
      <c r="M9" s="321">
        <f>+'[2]Stmts RUS'!J72</f>
        <v>2.95</v>
      </c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</row>
    <row r="10" spans="1:42" ht="12.75">
      <c r="A10" s="318" t="s">
        <v>33</v>
      </c>
      <c r="B10" s="316">
        <f aca="true" t="shared" si="2" ref="B10:F10">+B8+B9</f>
        <v>41.83807626760069</v>
      </c>
      <c r="C10" s="316">
        <f t="shared" si="2"/>
        <v>42.037206274849254</v>
      </c>
      <c r="D10" s="316">
        <f t="shared" si="2"/>
        <v>42.076592736922656</v>
      </c>
      <c r="E10" s="316">
        <f t="shared" si="2"/>
        <v>42.23198351164214</v>
      </c>
      <c r="F10" s="316">
        <f t="shared" si="2"/>
        <v>42.27407364638222</v>
      </c>
      <c r="G10" s="316">
        <f>+G8+G9</f>
        <v>42.126510078053805</v>
      </c>
      <c r="H10" s="316">
        <f>+H8+H9</f>
        <v>42.34200234192038</v>
      </c>
      <c r="I10" s="316">
        <f>+I8+I9</f>
        <v>42.34200234192038</v>
      </c>
      <c r="J10" s="316">
        <f>+J8+J9</f>
        <v>42.382103718199616</v>
      </c>
      <c r="K10" s="316">
        <f aca="true" t="shared" si="3" ref="K10:M10">+K8+K9</f>
        <v>42.382103718199616</v>
      </c>
      <c r="L10" s="316">
        <f t="shared" si="3"/>
        <v>42.382103718199616</v>
      </c>
      <c r="M10" s="316">
        <f t="shared" si="3"/>
        <v>42.382103718199616</v>
      </c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</row>
    <row r="11" spans="1:42" ht="12.75">
      <c r="A11" s="318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</row>
    <row r="12" spans="1:42" ht="12.75">
      <c r="A12" s="317" t="s">
        <v>34</v>
      </c>
      <c r="B12" s="316">
        <f>+'[1]Stmts RUS'!K74</f>
        <v>-0.487</v>
      </c>
      <c r="C12" s="316">
        <f>+'[1]Stmts RUS'!L74</f>
        <v>-0.423</v>
      </c>
      <c r="D12" s="316">
        <f>+'[1]Stmts RUS'!M74</f>
        <v>-0.48</v>
      </c>
      <c r="E12" s="316">
        <f>+'[1]Stmts RUS'!N74</f>
        <v>-0.312</v>
      </c>
      <c r="F12" s="316">
        <f>+'[1]Stmts RUS'!O74</f>
        <v>-0.569</v>
      </c>
      <c r="G12" s="316">
        <f>+'[1]Stmts RUS'!P74</f>
        <v>-0.37</v>
      </c>
      <c r="H12" s="316">
        <f>+'[1]Stmts RUS'!Q74</f>
        <v>-0.5599363424113599</v>
      </c>
      <c r="I12" s="316">
        <f>+'[1]Stmts RUS'!R74</f>
        <v>-0.5887604174294743</v>
      </c>
      <c r="J12" s="328">
        <f>+'[2]Stmts RUS'!G74</f>
        <v>-0.5925009641938721</v>
      </c>
      <c r="K12" s="328">
        <f>+'[2]Stmts RUS'!H74</f>
        <v>-0.5573192765653343</v>
      </c>
      <c r="L12" s="328">
        <f>+'[2]Stmts RUS'!I74</f>
        <v>-0.5737368842685836</v>
      </c>
      <c r="M12" s="328">
        <f>+'[2]Stmts RUS'!J74</f>
        <v>-0.5509323357775415</v>
      </c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</row>
    <row r="13" spans="1:42" ht="12.75">
      <c r="A13" s="317" t="s">
        <v>16</v>
      </c>
      <c r="B13" s="316">
        <f>+'[1]Stmts RUS'!K75</f>
        <v>3.326</v>
      </c>
      <c r="C13" s="316">
        <f>+'[1]Stmts RUS'!L75</f>
        <v>2.64</v>
      </c>
      <c r="D13" s="316">
        <f>+'[1]Stmts RUS'!M75</f>
        <v>2.971</v>
      </c>
      <c r="E13" s="316">
        <f>+'[1]Stmts RUS'!N75</f>
        <v>3.59</v>
      </c>
      <c r="F13" s="316">
        <f>+'[1]Stmts RUS'!O75</f>
        <v>3.318</v>
      </c>
      <c r="G13" s="316">
        <f>+'[1]Stmts RUS'!P75</f>
        <v>3.313</v>
      </c>
      <c r="H13" s="316">
        <f>+'[1]Stmts RUS'!Q75</f>
        <v>3.674546244664427</v>
      </c>
      <c r="I13" s="316">
        <f>+'[1]Stmts RUS'!R75</f>
        <v>3.5081639216437175</v>
      </c>
      <c r="J13" s="328">
        <f>+'[2]Stmts RUS'!G75</f>
        <v>3.793970024000206</v>
      </c>
      <c r="K13" s="328">
        <f>+'[2]Stmts RUS'!H75</f>
        <v>3.926745984159748</v>
      </c>
      <c r="L13" s="328">
        <f>+'[2]Stmts RUS'!I75</f>
        <v>3.9206958091520967</v>
      </c>
      <c r="M13" s="328">
        <f>+'[2]Stmts RUS'!J75</f>
        <v>3.9562958913347472</v>
      </c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</row>
    <row r="14" spans="1:42" ht="12.75">
      <c r="A14" s="317" t="s">
        <v>35</v>
      </c>
      <c r="B14" s="316">
        <f>+'[1]Stmts RUS'!K76</f>
        <v>1.921</v>
      </c>
      <c r="C14" s="316">
        <f>+'[1]Stmts RUS'!L76</f>
        <v>2.224</v>
      </c>
      <c r="D14" s="316">
        <f>+'[1]Stmts RUS'!M76</f>
        <v>2.055</v>
      </c>
      <c r="E14" s="316">
        <f>+'[1]Stmts RUS'!N76</f>
        <v>2.261</v>
      </c>
      <c r="F14" s="316">
        <f>+'[1]Stmts RUS'!O76</f>
        <v>2.077</v>
      </c>
      <c r="G14" s="316">
        <f>+'[1]Stmts RUS'!P76</f>
        <v>2.332</v>
      </c>
      <c r="H14" s="316">
        <f>+'[1]Stmts RUS'!Q76</f>
        <v>2.02290481433111</v>
      </c>
      <c r="I14" s="316">
        <f>+'[1]Stmts RUS'!R76</f>
        <v>2.367110170616618</v>
      </c>
      <c r="J14" s="328">
        <f>+'[2]Stmts RUS'!G76</f>
        <v>2.4837400570803227</v>
      </c>
      <c r="K14" s="328">
        <f>+'[2]Stmts RUS'!H76</f>
        <v>2.4849940171317084</v>
      </c>
      <c r="L14" s="328">
        <f>+'[2]Stmts RUS'!I76</f>
        <v>2.548096149954306</v>
      </c>
      <c r="M14" s="328">
        <f>+'[2]Stmts RUS'!J76</f>
        <v>2.3842492425299575</v>
      </c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</row>
    <row r="15" spans="1:42" ht="12.75">
      <c r="A15" s="317" t="s">
        <v>36</v>
      </c>
      <c r="B15" s="316">
        <f>+'[1]Stmts RUS'!K77</f>
        <v>1.8590000036589864</v>
      </c>
      <c r="C15" s="316">
        <f>+'[1]Stmts RUS'!L77</f>
        <v>1.8810000078390317</v>
      </c>
      <c r="D15" s="316">
        <f>+'[1]Stmts RUS'!M77</f>
        <v>1.8589999955390415</v>
      </c>
      <c r="E15" s="316">
        <f>+'[1]Stmts RUS'!N77</f>
        <v>1.8590000047855357</v>
      </c>
      <c r="F15" s="316">
        <f>+'[1]Stmts RUS'!O77</f>
        <v>1.8810000043185842</v>
      </c>
      <c r="G15" s="316">
        <f>+'[1]Stmts RUS'!P77</f>
        <v>1.8590000026496194</v>
      </c>
      <c r="H15" s="316">
        <f>+'[1]Stmts RUS'!Q77</f>
        <v>1.880827330932373</v>
      </c>
      <c r="I15" s="316">
        <f>+'[1]Stmts RUS'!R77</f>
        <v>1.8588651589668124</v>
      </c>
      <c r="J15" s="328">
        <f>+'[2]Stmts RUS'!G77</f>
        <v>1.8512039361881287</v>
      </c>
      <c r="K15" s="328">
        <f>+'[2]Stmts RUS'!H77</f>
        <v>1.9209757864939996</v>
      </c>
      <c r="L15" s="328">
        <f>+'[2]Stmts RUS'!I77</f>
        <v>1.8512039361881287</v>
      </c>
      <c r="M15" s="328">
        <f>+'[2]Stmts RUS'!J77</f>
        <v>1.8729107340610662</v>
      </c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</row>
    <row r="16" spans="1:42" ht="12.75">
      <c r="A16" s="317" t="s">
        <v>37</v>
      </c>
      <c r="B16" s="321">
        <f>+'[1]Stmts RUS'!K78</f>
        <v>0</v>
      </c>
      <c r="C16" s="321">
        <f>+'[1]Stmts RUS'!L78</f>
        <v>0</v>
      </c>
      <c r="D16" s="321">
        <f>+'[1]Stmts RUS'!M78</f>
        <v>0</v>
      </c>
      <c r="E16" s="321">
        <f>+'[1]Stmts RUS'!N78</f>
        <v>0</v>
      </c>
      <c r="F16" s="321">
        <f>+'[1]Stmts RUS'!O78</f>
        <v>0</v>
      </c>
      <c r="G16" s="321">
        <f>+'[1]Stmts RUS'!P78</f>
        <v>0</v>
      </c>
      <c r="H16" s="321">
        <f>+'[1]Stmts RUS'!Q78</f>
        <v>0</v>
      </c>
      <c r="I16" s="321">
        <f>+'[1]Stmts RUS'!R78</f>
        <v>0</v>
      </c>
      <c r="J16" s="321">
        <f>+'[2]Stmts RUS'!G78</f>
        <v>0</v>
      </c>
      <c r="K16" s="321">
        <f>+'[2]Stmts RUS'!H78</f>
        <v>0</v>
      </c>
      <c r="L16" s="321">
        <f>+'[2]Stmts RUS'!I78</f>
        <v>0</v>
      </c>
      <c r="M16" s="321">
        <f>+'[2]Stmts RUS'!J78</f>
        <v>0</v>
      </c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</row>
    <row r="17" spans="1:42" ht="12.75">
      <c r="A17" s="317" t="s">
        <v>38</v>
      </c>
      <c r="B17" s="316">
        <f aca="true" t="shared" si="4" ref="B17:F17">+B10+SUM(B12:B16)</f>
        <v>48.45707627125968</v>
      </c>
      <c r="C17" s="316">
        <f t="shared" si="4"/>
        <v>48.359206282688284</v>
      </c>
      <c r="D17" s="316">
        <f t="shared" si="4"/>
        <v>48.4815927324617</v>
      </c>
      <c r="E17" s="316">
        <f t="shared" si="4"/>
        <v>49.62998351642768</v>
      </c>
      <c r="F17" s="316">
        <f t="shared" si="4"/>
        <v>48.98107365070081</v>
      </c>
      <c r="G17" s="316">
        <f>+G10+SUM(G12:G16)</f>
        <v>49.260510080703426</v>
      </c>
      <c r="H17" s="316">
        <f>+H10+SUM(H12:H16)</f>
        <v>49.360344389436925</v>
      </c>
      <c r="I17" s="316">
        <f>+I10+SUM(I12:I16)</f>
        <v>49.48738117571805</v>
      </c>
      <c r="J17" s="316">
        <f>+J10+SUM(J12:J16)</f>
        <v>49.918516771274405</v>
      </c>
      <c r="K17" s="316">
        <f aca="true" t="shared" si="5" ref="K17:M17">+K10+SUM(K12:K16)</f>
        <v>50.15750022941974</v>
      </c>
      <c r="L17" s="316">
        <f t="shared" si="5"/>
        <v>50.128362729225564</v>
      </c>
      <c r="M17" s="316">
        <f t="shared" si="5"/>
        <v>50.044627250347844</v>
      </c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</row>
    <row r="18" spans="1:24" ht="12.75">
      <c r="A18" s="99"/>
      <c r="B18" s="99"/>
      <c r="C18" s="99"/>
      <c r="D18" s="99"/>
      <c r="E18" s="99"/>
      <c r="F18" s="99"/>
      <c r="G18" s="99"/>
      <c r="P18" s="98"/>
      <c r="S18" s="98"/>
      <c r="V18" s="98"/>
      <c r="X18" s="98"/>
    </row>
    <row r="19" spans="1:24" ht="12.75">
      <c r="A19" s="99"/>
      <c r="B19" s="99"/>
      <c r="C19" s="99"/>
      <c r="D19" s="99"/>
      <c r="E19" s="99"/>
      <c r="F19" s="99"/>
      <c r="G19" s="99"/>
      <c r="P19" s="98"/>
      <c r="S19" s="98"/>
      <c r="V19" s="98"/>
      <c r="X19" s="98"/>
    </row>
    <row r="20" spans="1:24" ht="15.75" customHeight="1">
      <c r="A20" s="98" t="s">
        <v>47</v>
      </c>
      <c r="B20" s="319">
        <f aca="true" t="shared" si="6" ref="B20:F20">+B6*B17</f>
        <v>30711225.572319005</v>
      </c>
      <c r="C20" s="319">
        <f t="shared" si="6"/>
        <v>29518798.754785</v>
      </c>
      <c r="D20" s="319">
        <f t="shared" si="6"/>
        <v>30506410.657192998</v>
      </c>
      <c r="E20" s="319">
        <f t="shared" si="6"/>
        <v>30863593.192976</v>
      </c>
      <c r="F20" s="319">
        <f t="shared" si="6"/>
        <v>29523040.272602998</v>
      </c>
      <c r="G20" s="319">
        <f>+G6*G17</f>
        <v>30806186.911657</v>
      </c>
      <c r="H20" s="319">
        <f>+H6*H17</f>
        <v>29604360.15100869</v>
      </c>
      <c r="I20" s="319">
        <f>+I6*I17</f>
        <v>30669903.458413612</v>
      </c>
      <c r="J20" s="319">
        <f>+J6*J17</f>
        <v>31301066.49551357</v>
      </c>
      <c r="K20" s="319">
        <f aca="true" t="shared" si="7" ref="K20:M20">+K6*K17</f>
        <v>28407282.08193453</v>
      </c>
      <c r="L20" s="319">
        <f t="shared" si="7"/>
        <v>31432648.97649433</v>
      </c>
      <c r="M20" s="319">
        <f t="shared" si="7"/>
        <v>30367880.529547077</v>
      </c>
      <c r="P20" s="98"/>
      <c r="S20" s="98"/>
      <c r="V20" s="98"/>
      <c r="X20" s="98"/>
    </row>
    <row r="25" spans="8:42" ht="15.6">
      <c r="H25" s="320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</row>
    <row r="26" spans="10:42" ht="12.75"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</row>
  </sheetData>
  <printOptions horizontalCentered="1"/>
  <pageMargins left="0.375" right="0.375" top="1.875" bottom="1.25" header="0.875" footer="0.375"/>
  <pageSetup fitToWidth="2" horizontalDpi="600" verticalDpi="600" orientation="landscape" scale="46" r:id="rId1"/>
  <headerFooter>
    <oddHeader>&amp;C&amp;"Century Schoolbook,Bold"&amp;16Big Rivers Electric Corporation
Case No. 2012-00nnn
Revenue Summary - Smelters
Base Period October 2012</oddHeader>
    <oddFooter>&amp;L&amp;"Century Schoolbook,Bold"&amp;14Case No. 2012-00nnn
Exhibit 59-807 KAR 5:001 Section 10(10)(m)
Sponsoring Witness:  Ms. Billie Richert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N48"/>
  <sheetViews>
    <sheetView view="pageBreakPreview" zoomScale="75" zoomScaleSheetLayoutView="75" workbookViewId="0" topLeftCell="A1">
      <pane xSplit="1" ySplit="1" topLeftCell="W2" activePane="bottomRight" state="frozen"/>
      <selection pane="topLeft" activeCell="Z6" sqref="Z6"/>
      <selection pane="topRight" activeCell="Z6" sqref="Z6"/>
      <selection pane="bottomLeft" activeCell="Z6" sqref="Z6"/>
      <selection pane="bottomRight" activeCell="Z6" sqref="Z6"/>
    </sheetView>
  </sheetViews>
  <sheetFormatPr defaultColWidth="9.140625" defaultRowHeight="12.75"/>
  <cols>
    <col min="1" max="1" width="68.57421875" style="330" customWidth="1"/>
    <col min="2" max="3" width="33.8515625" style="330" bestFit="1" customWidth="1"/>
    <col min="4" max="4" width="24.28125" style="330" customWidth="1"/>
    <col min="5" max="6" width="33.8515625" style="330" bestFit="1" customWidth="1"/>
    <col min="7" max="7" width="24.28125" style="330" customWidth="1"/>
    <col min="8" max="9" width="33.8515625" style="330" bestFit="1" customWidth="1"/>
    <col min="10" max="10" width="24.28125" style="330" customWidth="1"/>
    <col min="11" max="12" width="33.8515625" style="330" bestFit="1" customWidth="1"/>
    <col min="13" max="13" width="23.140625" style="330" customWidth="1"/>
    <col min="14" max="15" width="33.8515625" style="330" bestFit="1" customWidth="1"/>
    <col min="16" max="16" width="24.28125" style="330" customWidth="1"/>
    <col min="17" max="17" width="24.421875" style="330" bestFit="1" customWidth="1"/>
    <col min="18" max="18" width="24.140625" style="330" bestFit="1" customWidth="1"/>
    <col min="19" max="19" width="24.28125" style="330" customWidth="1"/>
    <col min="20" max="20" width="24.421875" style="330" bestFit="1" customWidth="1"/>
    <col min="21" max="21" width="24.140625" style="330" bestFit="1" customWidth="1"/>
    <col min="22" max="22" width="24.28125" style="330" customWidth="1"/>
    <col min="23" max="23" width="24.421875" style="330" bestFit="1" customWidth="1"/>
    <col min="24" max="24" width="24.28125" style="330" bestFit="1" customWidth="1"/>
    <col min="25" max="25" width="24.28125" style="330" customWidth="1"/>
    <col min="26" max="26" width="24.57421875" style="330" bestFit="1" customWidth="1"/>
    <col min="27" max="27" width="24.28125" style="330" bestFit="1" customWidth="1"/>
    <col min="28" max="28" width="24.28125" style="330" customWidth="1"/>
    <col min="29" max="29" width="24.57421875" style="330" bestFit="1" customWidth="1"/>
    <col min="30" max="30" width="24.28125" style="330" bestFit="1" customWidth="1"/>
    <col min="31" max="31" width="24.28125" style="330" customWidth="1"/>
    <col min="32" max="32" width="24.57421875" style="330" bestFit="1" customWidth="1"/>
    <col min="33" max="33" width="24.28125" style="330" bestFit="1" customWidth="1"/>
    <col min="34" max="34" width="24.28125" style="330" customWidth="1"/>
    <col min="35" max="35" width="24.57421875" style="330" bestFit="1" customWidth="1"/>
    <col min="36" max="36" width="24.28125" style="330" bestFit="1" customWidth="1"/>
    <col min="37" max="37" width="24.28125" style="330" customWidth="1"/>
    <col min="38" max="38" width="24.7109375" style="330" bestFit="1" customWidth="1"/>
    <col min="39" max="39" width="25.28125" style="330" customWidth="1"/>
    <col min="40" max="40" width="24.28125" style="330" customWidth="1"/>
    <col min="41" max="41" width="23.00390625" style="330" bestFit="1" customWidth="1"/>
    <col min="42" max="16384" width="9.140625" style="330" customWidth="1"/>
  </cols>
  <sheetData>
    <row r="1" spans="1:40" ht="29.25" customHeight="1">
      <c r="A1" s="329"/>
      <c r="B1" s="492"/>
      <c r="C1" s="493"/>
      <c r="D1" s="494"/>
      <c r="E1" s="495"/>
      <c r="F1" s="496"/>
      <c r="G1" s="497"/>
      <c r="H1" s="489"/>
      <c r="I1" s="490"/>
      <c r="J1" s="491"/>
      <c r="K1" s="489"/>
      <c r="L1" s="490"/>
      <c r="M1" s="491"/>
      <c r="N1" s="489">
        <v>41030</v>
      </c>
      <c r="O1" s="490"/>
      <c r="P1" s="491"/>
      <c r="Q1" s="489">
        <v>41061</v>
      </c>
      <c r="R1" s="490"/>
      <c r="S1" s="491"/>
      <c r="T1" s="489">
        <v>41091</v>
      </c>
      <c r="U1" s="490"/>
      <c r="V1" s="491"/>
      <c r="W1" s="489">
        <v>41122</v>
      </c>
      <c r="X1" s="490"/>
      <c r="Y1" s="491"/>
      <c r="Z1" s="489">
        <v>41153</v>
      </c>
      <c r="AA1" s="490"/>
      <c r="AB1" s="491"/>
      <c r="AC1" s="489">
        <v>41183</v>
      </c>
      <c r="AD1" s="490"/>
      <c r="AE1" s="491"/>
      <c r="AF1" s="489">
        <v>41214</v>
      </c>
      <c r="AG1" s="490"/>
      <c r="AH1" s="491"/>
      <c r="AI1" s="489">
        <v>41244</v>
      </c>
      <c r="AJ1" s="490"/>
      <c r="AK1" s="491"/>
      <c r="AL1" s="486" t="s">
        <v>56</v>
      </c>
      <c r="AM1" s="487"/>
      <c r="AN1" s="488"/>
    </row>
    <row r="2" spans="1:40" ht="17.4">
      <c r="A2" s="329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 t="s">
        <v>57</v>
      </c>
      <c r="O2" s="331" t="s">
        <v>58</v>
      </c>
      <c r="P2" s="331" t="s">
        <v>59</v>
      </c>
      <c r="Q2" s="331" t="s">
        <v>57</v>
      </c>
      <c r="R2" s="331" t="s">
        <v>58</v>
      </c>
      <c r="S2" s="331" t="s">
        <v>59</v>
      </c>
      <c r="T2" s="331" t="s">
        <v>57</v>
      </c>
      <c r="U2" s="331" t="s">
        <v>58</v>
      </c>
      <c r="V2" s="331" t="s">
        <v>59</v>
      </c>
      <c r="W2" s="331" t="s">
        <v>57</v>
      </c>
      <c r="X2" s="331" t="s">
        <v>58</v>
      </c>
      <c r="Y2" s="331" t="s">
        <v>59</v>
      </c>
      <c r="Z2" s="331" t="s">
        <v>57</v>
      </c>
      <c r="AA2" s="331" t="s">
        <v>58</v>
      </c>
      <c r="AB2" s="331" t="s">
        <v>59</v>
      </c>
      <c r="AC2" s="331" t="s">
        <v>57</v>
      </c>
      <c r="AD2" s="331" t="s">
        <v>58</v>
      </c>
      <c r="AE2" s="331" t="s">
        <v>59</v>
      </c>
      <c r="AF2" s="331" t="s">
        <v>57</v>
      </c>
      <c r="AG2" s="331" t="s">
        <v>58</v>
      </c>
      <c r="AH2" s="331" t="s">
        <v>59</v>
      </c>
      <c r="AI2" s="331" t="s">
        <v>57</v>
      </c>
      <c r="AJ2" s="331" t="s">
        <v>58</v>
      </c>
      <c r="AK2" s="331" t="s">
        <v>59</v>
      </c>
      <c r="AL2" s="332" t="s">
        <v>57</v>
      </c>
      <c r="AM2" s="332" t="s">
        <v>58</v>
      </c>
      <c r="AN2" s="332" t="s">
        <v>59</v>
      </c>
    </row>
    <row r="3" spans="1:40" ht="17.4">
      <c r="A3" s="333"/>
      <c r="B3" s="483"/>
      <c r="C3" s="484"/>
      <c r="D3" s="329"/>
      <c r="E3" s="483"/>
      <c r="F3" s="484"/>
      <c r="G3" s="329"/>
      <c r="H3" s="483"/>
      <c r="I3" s="484"/>
      <c r="J3" s="329"/>
      <c r="K3" s="483"/>
      <c r="L3" s="484"/>
      <c r="M3" s="329"/>
      <c r="N3" s="483"/>
      <c r="O3" s="484"/>
      <c r="P3" s="329"/>
      <c r="Q3" s="483"/>
      <c r="R3" s="484"/>
      <c r="S3" s="329"/>
      <c r="T3" s="483"/>
      <c r="U3" s="484"/>
      <c r="V3" s="329"/>
      <c r="W3" s="483"/>
      <c r="X3" s="484"/>
      <c r="Y3" s="329"/>
      <c r="Z3" s="483"/>
      <c r="AA3" s="484"/>
      <c r="AB3" s="329"/>
      <c r="AC3" s="483"/>
      <c r="AD3" s="484"/>
      <c r="AE3" s="329"/>
      <c r="AF3" s="483"/>
      <c r="AG3" s="484"/>
      <c r="AH3" s="329"/>
      <c r="AI3" s="483"/>
      <c r="AJ3" s="484"/>
      <c r="AK3" s="329"/>
      <c r="AL3" s="484"/>
      <c r="AM3" s="485"/>
      <c r="AN3" s="329"/>
    </row>
    <row r="4" spans="1:40" ht="17.4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</row>
    <row r="5" spans="1:40" ht="17.4">
      <c r="A5" s="335" t="s">
        <v>60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</row>
    <row r="6" spans="1:40" ht="17.4">
      <c r="A6" s="336" t="s">
        <v>61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>
        <v>268316160</v>
      </c>
      <c r="O6" s="337">
        <v>351435840</v>
      </c>
      <c r="P6" s="337">
        <f aca="true" t="shared" si="0" ref="P6:P12">+N6+O6</f>
        <v>619752000</v>
      </c>
      <c r="Q6" s="337">
        <v>259660800</v>
      </c>
      <c r="R6" s="337">
        <v>340099200</v>
      </c>
      <c r="S6" s="337">
        <f aca="true" t="shared" si="1" ref="S6:S12">+Q6+R6</f>
        <v>599760000</v>
      </c>
      <c r="T6" s="337">
        <v>268316160</v>
      </c>
      <c r="U6" s="337">
        <v>351435840</v>
      </c>
      <c r="V6" s="337">
        <f aca="true" t="shared" si="2" ref="V6:V12">+T6+U6</f>
        <v>619752000</v>
      </c>
      <c r="W6" s="337">
        <v>268316160</v>
      </c>
      <c r="X6" s="337">
        <v>351435840</v>
      </c>
      <c r="Y6" s="337">
        <f aca="true" t="shared" si="3" ref="Y6:Y12">+W6+X6</f>
        <v>619752000</v>
      </c>
      <c r="Z6" s="337">
        <v>259660800</v>
      </c>
      <c r="AA6" s="337">
        <v>340099200</v>
      </c>
      <c r="AB6" s="337">
        <f aca="true" t="shared" si="4" ref="AB6:AB12">+Z6+AA6</f>
        <v>599760000</v>
      </c>
      <c r="AC6" s="337"/>
      <c r="AD6" s="337"/>
      <c r="AE6" s="337">
        <f aca="true" t="shared" si="5" ref="AE6:AE12">+AC6+AD6</f>
        <v>0</v>
      </c>
      <c r="AF6" s="337">
        <f>+'[1]Stmts RUS'!Q9*1000000000</f>
        <v>340099200</v>
      </c>
      <c r="AG6" s="337">
        <f>+'[1]Stmts RUS'!Q10*1000000000</f>
        <v>259660799.99999997</v>
      </c>
      <c r="AH6" s="337">
        <f aca="true" t="shared" si="6" ref="AH6:AH12">+AF6+AG6</f>
        <v>599760000</v>
      </c>
      <c r="AI6" s="338"/>
      <c r="AJ6" s="338"/>
      <c r="AK6" s="338">
        <f aca="true" t="shared" si="7" ref="AK6:AK12">+AI6+AJ6</f>
        <v>0</v>
      </c>
      <c r="AL6" s="339">
        <f>B6+E6+H6+K6+N6+Q6+T6+W6+Z6+AC6+AF6+AI6</f>
        <v>1664369280</v>
      </c>
      <c r="AM6" s="339">
        <f>C6+F6+I6+L6+O6+R6+U6+X6+AA6+AD6+AG6+AJ6</f>
        <v>1994166720</v>
      </c>
      <c r="AN6" s="340">
        <f aca="true" t="shared" si="8" ref="AN6:AN12">+AL6+AM6</f>
        <v>3658536000</v>
      </c>
    </row>
    <row r="7" spans="1:40" ht="18" thickBot="1">
      <c r="A7" s="336" t="s">
        <v>62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>
        <v>3790814</v>
      </c>
      <c r="O7" s="341">
        <v>6583667</v>
      </c>
      <c r="P7" s="341">
        <f t="shared" si="0"/>
        <v>10374481</v>
      </c>
      <c r="Q7" s="341">
        <v>827811</v>
      </c>
      <c r="R7" s="341">
        <v>6651229</v>
      </c>
      <c r="S7" s="341">
        <f t="shared" si="1"/>
        <v>7479040</v>
      </c>
      <c r="T7" s="341">
        <v>4450</v>
      </c>
      <c r="U7" s="341">
        <v>6728410</v>
      </c>
      <c r="V7" s="341">
        <f t="shared" si="2"/>
        <v>6732860</v>
      </c>
      <c r="W7" s="341">
        <v>-4687760</v>
      </c>
      <c r="X7" s="341">
        <v>6137853</v>
      </c>
      <c r="Y7" s="341">
        <f t="shared" si="3"/>
        <v>1450093</v>
      </c>
      <c r="Z7" s="341">
        <v>-1411756</v>
      </c>
      <c r="AA7" s="341">
        <v>5113971</v>
      </c>
      <c r="AB7" s="341">
        <f t="shared" si="4"/>
        <v>3702215</v>
      </c>
      <c r="AC7" s="341"/>
      <c r="AD7" s="341"/>
      <c r="AE7" s="341">
        <f t="shared" si="5"/>
        <v>0</v>
      </c>
      <c r="AF7" s="341">
        <v>0</v>
      </c>
      <c r="AG7" s="341">
        <v>0</v>
      </c>
      <c r="AH7" s="341">
        <f t="shared" si="6"/>
        <v>0</v>
      </c>
      <c r="AI7" s="342"/>
      <c r="AJ7" s="342"/>
      <c r="AK7" s="342">
        <f t="shared" si="7"/>
        <v>0</v>
      </c>
      <c r="AL7" s="343">
        <f>B7+E7+H7+K7+N7+Q7+T7+W7+Z7+AC7+AF7+AI7</f>
        <v>-1476441</v>
      </c>
      <c r="AM7" s="343">
        <f>C7+F7+I7+L7+O7+R7+U7+X7+AA7+AD7+AG7+AJ7</f>
        <v>31215130</v>
      </c>
      <c r="AN7" s="341">
        <f t="shared" si="8"/>
        <v>29738689</v>
      </c>
    </row>
    <row r="8" spans="1:40" ht="17.4">
      <c r="A8" s="336" t="s">
        <v>63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>
        <f>N6+N7</f>
        <v>272106974</v>
      </c>
      <c r="O8" s="337">
        <f>O6+O7</f>
        <v>358019507</v>
      </c>
      <c r="P8" s="337">
        <f t="shared" si="0"/>
        <v>630126481</v>
      </c>
      <c r="Q8" s="337">
        <f>Q6+Q7</f>
        <v>260488611</v>
      </c>
      <c r="R8" s="337">
        <f>R6+R7</f>
        <v>346750429</v>
      </c>
      <c r="S8" s="337">
        <f t="shared" si="1"/>
        <v>607239040</v>
      </c>
      <c r="T8" s="337">
        <f>T6+T7</f>
        <v>268320610</v>
      </c>
      <c r="U8" s="337">
        <f>U6+U7</f>
        <v>358164250</v>
      </c>
      <c r="V8" s="337">
        <f t="shared" si="2"/>
        <v>626484860</v>
      </c>
      <c r="W8" s="337">
        <f>W6+W7</f>
        <v>263628400</v>
      </c>
      <c r="X8" s="337">
        <f>X6+X7</f>
        <v>357573693</v>
      </c>
      <c r="Y8" s="337">
        <f t="shared" si="3"/>
        <v>621202093</v>
      </c>
      <c r="Z8" s="337">
        <f>Z6+Z7</f>
        <v>258249044</v>
      </c>
      <c r="AA8" s="337">
        <f>AA6+AA7</f>
        <v>345213171</v>
      </c>
      <c r="AB8" s="337">
        <f t="shared" si="4"/>
        <v>603462215</v>
      </c>
      <c r="AC8" s="337">
        <f>AC6+AC7</f>
        <v>0</v>
      </c>
      <c r="AD8" s="337">
        <f>AD6+AD7</f>
        <v>0</v>
      </c>
      <c r="AE8" s="337">
        <f t="shared" si="5"/>
        <v>0</v>
      </c>
      <c r="AF8" s="337">
        <f>AF6+AF7</f>
        <v>340099200</v>
      </c>
      <c r="AG8" s="337">
        <f>AG6+AG7</f>
        <v>259660799.99999997</v>
      </c>
      <c r="AH8" s="337">
        <f t="shared" si="6"/>
        <v>599760000</v>
      </c>
      <c r="AI8" s="338">
        <f>AI6+AI7</f>
        <v>0</v>
      </c>
      <c r="AJ8" s="338">
        <f>AJ6+AJ7</f>
        <v>0</v>
      </c>
      <c r="AK8" s="338">
        <f t="shared" si="7"/>
        <v>0</v>
      </c>
      <c r="AL8" s="339">
        <f>SUM(AL6:AL7)</f>
        <v>1662892839</v>
      </c>
      <c r="AM8" s="339">
        <f aca="true" t="shared" si="9" ref="AL8:AM11">C8+F8+I8+L8+O8+R8+U8+X8+AA8+AD8+AG8+AJ8</f>
        <v>2025381850</v>
      </c>
      <c r="AN8" s="337">
        <f>SUM(AN6:AN7)</f>
        <v>3688274689</v>
      </c>
    </row>
    <row r="9" spans="1:40" ht="17.4">
      <c r="A9" s="344" t="s">
        <v>64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>
        <v>0</v>
      </c>
      <c r="O9" s="340">
        <v>185000</v>
      </c>
      <c r="P9" s="340">
        <f>+N9+O9</f>
        <v>185000</v>
      </c>
      <c r="Q9" s="340">
        <v>0</v>
      </c>
      <c r="R9" s="340">
        <v>32000</v>
      </c>
      <c r="S9" s="340">
        <f>+Q9+R9</f>
        <v>32000</v>
      </c>
      <c r="T9" s="340"/>
      <c r="U9" s="340"/>
      <c r="V9" s="340">
        <f>+T9+U9</f>
        <v>0</v>
      </c>
      <c r="W9" s="340"/>
      <c r="X9" s="340"/>
      <c r="Y9" s="340">
        <f>+W9+X9</f>
        <v>0</v>
      </c>
      <c r="Z9" s="340"/>
      <c r="AA9" s="340"/>
      <c r="AB9" s="340">
        <f>+Z9+AA9</f>
        <v>0</v>
      </c>
      <c r="AC9" s="340"/>
      <c r="AD9" s="340"/>
      <c r="AE9" s="340">
        <f>+AC9+AD9</f>
        <v>0</v>
      </c>
      <c r="AF9" s="340">
        <v>0</v>
      </c>
      <c r="AG9" s="340">
        <v>0</v>
      </c>
      <c r="AH9" s="340">
        <f>+AF9+AG9</f>
        <v>0</v>
      </c>
      <c r="AI9" s="345"/>
      <c r="AJ9" s="345"/>
      <c r="AK9" s="345">
        <f>+AI9+AJ9</f>
        <v>0</v>
      </c>
      <c r="AL9" s="339">
        <f>B9+E9+H9+K9+N9+Q9+T9+W9+Z9+AC9+AF9+AI9</f>
        <v>0</v>
      </c>
      <c r="AM9" s="339">
        <f>C9+F9+I9+L9+O9+R9+U9+X9+AA9+AD9+AG9+AJ9</f>
        <v>217000</v>
      </c>
      <c r="AN9" s="340">
        <f>+AL9+AM9</f>
        <v>217000</v>
      </c>
    </row>
    <row r="10" spans="1:40" ht="17.4">
      <c r="A10" s="336" t="s">
        <v>65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>
        <v>1365658</v>
      </c>
      <c r="O10" s="337">
        <v>2104920</v>
      </c>
      <c r="P10" s="337">
        <f t="shared" si="0"/>
        <v>3470578</v>
      </c>
      <c r="Q10" s="337">
        <f>399990+1</f>
        <v>399991</v>
      </c>
      <c r="R10" s="337">
        <v>2735984</v>
      </c>
      <c r="S10" s="337">
        <f t="shared" si="1"/>
        <v>3135975</v>
      </c>
      <c r="T10" s="337">
        <v>178622</v>
      </c>
      <c r="U10" s="337">
        <v>2573491</v>
      </c>
      <c r="V10" s="337">
        <f t="shared" si="2"/>
        <v>2752113</v>
      </c>
      <c r="W10" s="337">
        <v>30132</v>
      </c>
      <c r="X10" s="337">
        <v>1525097</v>
      </c>
      <c r="Y10" s="337">
        <f t="shared" si="3"/>
        <v>1555229</v>
      </c>
      <c r="Z10" s="337">
        <v>296598</v>
      </c>
      <c r="AA10" s="337">
        <v>594822</v>
      </c>
      <c r="AB10" s="337">
        <f t="shared" si="4"/>
        <v>891420</v>
      </c>
      <c r="AC10" s="337"/>
      <c r="AD10" s="337"/>
      <c r="AE10" s="337">
        <f t="shared" si="5"/>
        <v>0</v>
      </c>
      <c r="AF10" s="337">
        <v>0</v>
      </c>
      <c r="AG10" s="337">
        <v>0</v>
      </c>
      <c r="AH10" s="337">
        <f t="shared" si="6"/>
        <v>0</v>
      </c>
      <c r="AI10" s="338"/>
      <c r="AJ10" s="338"/>
      <c r="AK10" s="338">
        <f t="shared" si="7"/>
        <v>0</v>
      </c>
      <c r="AL10" s="339">
        <f t="shared" si="9"/>
        <v>2271001</v>
      </c>
      <c r="AM10" s="339">
        <f t="shared" si="9"/>
        <v>9534314</v>
      </c>
      <c r="AN10" s="337">
        <f t="shared" si="8"/>
        <v>11805315</v>
      </c>
    </row>
    <row r="11" spans="1:40" ht="18" thickBot="1">
      <c r="A11" s="336" t="s">
        <v>66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>
        <v>0</v>
      </c>
      <c r="O11" s="341">
        <v>0</v>
      </c>
      <c r="P11" s="341">
        <f t="shared" si="0"/>
        <v>0</v>
      </c>
      <c r="Q11" s="341">
        <v>0</v>
      </c>
      <c r="R11" s="341">
        <v>0</v>
      </c>
      <c r="S11" s="341">
        <f t="shared" si="1"/>
        <v>0</v>
      </c>
      <c r="T11" s="341"/>
      <c r="U11" s="341"/>
      <c r="V11" s="341">
        <f t="shared" si="2"/>
        <v>0</v>
      </c>
      <c r="W11" s="341">
        <v>-883386</v>
      </c>
      <c r="X11" s="341"/>
      <c r="Y11" s="341">
        <f t="shared" si="3"/>
        <v>-883386</v>
      </c>
      <c r="Z11" s="341">
        <v>-1609798</v>
      </c>
      <c r="AA11" s="341"/>
      <c r="AB11" s="341">
        <f t="shared" si="4"/>
        <v>-1609798</v>
      </c>
      <c r="AC11" s="341"/>
      <c r="AD11" s="341"/>
      <c r="AE11" s="341">
        <f t="shared" si="5"/>
        <v>0</v>
      </c>
      <c r="AF11" s="341">
        <v>0</v>
      </c>
      <c r="AG11" s="341">
        <v>0</v>
      </c>
      <c r="AH11" s="341">
        <f t="shared" si="6"/>
        <v>0</v>
      </c>
      <c r="AI11" s="342"/>
      <c r="AJ11" s="342"/>
      <c r="AK11" s="342">
        <f t="shared" si="7"/>
        <v>0</v>
      </c>
      <c r="AL11" s="343">
        <f t="shared" si="9"/>
        <v>-2493184</v>
      </c>
      <c r="AM11" s="343">
        <f t="shared" si="9"/>
        <v>0</v>
      </c>
      <c r="AN11" s="341">
        <f t="shared" si="8"/>
        <v>-2493184</v>
      </c>
    </row>
    <row r="12" spans="1:40" s="349" customFormat="1" ht="17.4">
      <c r="A12" s="346" t="s">
        <v>67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>
        <f>SUM(N8:N11)</f>
        <v>273472632</v>
      </c>
      <c r="O12" s="347">
        <f>O8+O10+O11+O9</f>
        <v>360309427</v>
      </c>
      <c r="P12" s="347">
        <f t="shared" si="0"/>
        <v>633782059</v>
      </c>
      <c r="Q12" s="347">
        <f>SUM(Q8:Q11)</f>
        <v>260888602</v>
      </c>
      <c r="R12" s="347">
        <f>R8+R10+R11+R9</f>
        <v>349518413</v>
      </c>
      <c r="S12" s="347">
        <f t="shared" si="1"/>
        <v>610407015</v>
      </c>
      <c r="T12" s="347">
        <f>SUM(T8:T11)</f>
        <v>268499232</v>
      </c>
      <c r="U12" s="347">
        <f>U8+U10+U11+U9</f>
        <v>360737741</v>
      </c>
      <c r="V12" s="347">
        <f t="shared" si="2"/>
        <v>629236973</v>
      </c>
      <c r="W12" s="347">
        <f>SUM(W8:W11)</f>
        <v>262775146</v>
      </c>
      <c r="X12" s="347">
        <f>X8+X10+X11+X9</f>
        <v>359098790</v>
      </c>
      <c r="Y12" s="347">
        <f t="shared" si="3"/>
        <v>621873936</v>
      </c>
      <c r="Z12" s="347">
        <f>SUM(Z8:Z11)</f>
        <v>256935844</v>
      </c>
      <c r="AA12" s="347">
        <f>AA8+AA10+AA11+AA9</f>
        <v>345807993</v>
      </c>
      <c r="AB12" s="347">
        <f t="shared" si="4"/>
        <v>602743837</v>
      </c>
      <c r="AC12" s="347">
        <f>SUM(AC8:AC11)</f>
        <v>0</v>
      </c>
      <c r="AD12" s="347">
        <f>AD8+AD10+AD11+AD9</f>
        <v>0</v>
      </c>
      <c r="AE12" s="347">
        <f t="shared" si="5"/>
        <v>0</v>
      </c>
      <c r="AF12" s="347">
        <f>SUM(AF8:AF11)</f>
        <v>340099200</v>
      </c>
      <c r="AG12" s="347">
        <f>AG8+AG10+AG11+AG9</f>
        <v>259660799.99999997</v>
      </c>
      <c r="AH12" s="347">
        <f t="shared" si="6"/>
        <v>599760000</v>
      </c>
      <c r="AI12" s="348">
        <f>SUM(AI8:AI11)</f>
        <v>0</v>
      </c>
      <c r="AJ12" s="348">
        <f>AJ8+AJ10+AJ11+AJ9</f>
        <v>0</v>
      </c>
      <c r="AK12" s="348">
        <f t="shared" si="7"/>
        <v>0</v>
      </c>
      <c r="AL12" s="347">
        <f>SUM(AL8:AL11)</f>
        <v>1662670656</v>
      </c>
      <c r="AM12" s="347">
        <f>AM8+AM10+AM11+AM9</f>
        <v>2035133164</v>
      </c>
      <c r="AN12" s="347">
        <f t="shared" si="8"/>
        <v>3697803820</v>
      </c>
    </row>
    <row r="13" spans="1:40" ht="17.4">
      <c r="A13" s="336"/>
      <c r="B13" s="350"/>
      <c r="C13" s="350"/>
      <c r="D13" s="337"/>
      <c r="E13" s="350"/>
      <c r="F13" s="350"/>
      <c r="G13" s="337"/>
      <c r="H13" s="350"/>
      <c r="I13" s="350"/>
      <c r="J13" s="337"/>
      <c r="K13" s="350"/>
      <c r="L13" s="350"/>
      <c r="M13" s="337"/>
      <c r="N13" s="350"/>
      <c r="O13" s="350"/>
      <c r="P13" s="337"/>
      <c r="Q13" s="350"/>
      <c r="R13" s="350"/>
      <c r="S13" s="337"/>
      <c r="T13" s="350"/>
      <c r="U13" s="350"/>
      <c r="V13" s="337"/>
      <c r="W13" s="350"/>
      <c r="X13" s="350"/>
      <c r="Y13" s="337"/>
      <c r="Z13" s="350"/>
      <c r="AA13" s="350"/>
      <c r="AB13" s="337"/>
      <c r="AC13" s="350"/>
      <c r="AD13" s="350"/>
      <c r="AE13" s="337"/>
      <c r="AF13" s="350"/>
      <c r="AG13" s="350"/>
      <c r="AH13" s="337"/>
      <c r="AI13" s="351"/>
      <c r="AJ13" s="351"/>
      <c r="AK13" s="338"/>
      <c r="AL13" s="337"/>
      <c r="AM13" s="337"/>
      <c r="AN13" s="337"/>
    </row>
    <row r="14" spans="1:40" ht="17.4">
      <c r="A14" s="352" t="s">
        <v>68</v>
      </c>
      <c r="B14" s="350"/>
      <c r="C14" s="350"/>
      <c r="D14" s="337"/>
      <c r="E14" s="350"/>
      <c r="F14" s="350"/>
      <c r="G14" s="337"/>
      <c r="H14" s="350"/>
      <c r="I14" s="350"/>
      <c r="J14" s="337"/>
      <c r="K14" s="350"/>
      <c r="L14" s="350"/>
      <c r="M14" s="337"/>
      <c r="N14" s="350"/>
      <c r="O14" s="350"/>
      <c r="P14" s="337"/>
      <c r="Q14" s="350"/>
      <c r="R14" s="350"/>
      <c r="S14" s="337"/>
      <c r="T14" s="350"/>
      <c r="U14" s="350"/>
      <c r="V14" s="337"/>
      <c r="W14" s="350"/>
      <c r="X14" s="350"/>
      <c r="Y14" s="337"/>
      <c r="Z14" s="368">
        <f>+Z15/Z6</f>
        <v>0.03939199998613576</v>
      </c>
      <c r="AA14" s="350"/>
      <c r="AB14" s="337"/>
      <c r="AC14" s="350"/>
      <c r="AD14" s="350"/>
      <c r="AE14" s="337"/>
      <c r="AF14" s="350"/>
      <c r="AG14" s="350"/>
      <c r="AH14" s="337"/>
      <c r="AI14" s="350"/>
      <c r="AJ14" s="350"/>
      <c r="AK14" s="337"/>
      <c r="AL14" s="337"/>
      <c r="AM14" s="337"/>
      <c r="AN14" s="337"/>
    </row>
    <row r="15" spans="1:40" ht="17.4">
      <c r="A15" s="329" t="s">
        <v>61</v>
      </c>
      <c r="B15" s="336"/>
      <c r="C15" s="336"/>
      <c r="D15" s="353"/>
      <c r="E15" s="336"/>
      <c r="F15" s="336"/>
      <c r="G15" s="353"/>
      <c r="H15" s="336"/>
      <c r="I15" s="336"/>
      <c r="J15" s="353"/>
      <c r="K15" s="336"/>
      <c r="L15" s="336"/>
      <c r="M15" s="353"/>
      <c r="N15" s="336">
        <v>10569510.17</v>
      </c>
      <c r="O15" s="336">
        <v>13843760.61</v>
      </c>
      <c r="P15" s="353">
        <f aca="true" t="shared" si="10" ref="P15:P25">+N15+O15</f>
        <v>24413270.78</v>
      </c>
      <c r="Q15" s="336">
        <v>10228558.23</v>
      </c>
      <c r="R15" s="336">
        <v>13397187.69</v>
      </c>
      <c r="S15" s="353">
        <f aca="true" t="shared" si="11" ref="S15:S25">+Q15+R15</f>
        <v>23625745.92</v>
      </c>
      <c r="T15" s="336">
        <v>10569510.17</v>
      </c>
      <c r="U15" s="336">
        <v>13843760.61</v>
      </c>
      <c r="V15" s="353">
        <f aca="true" t="shared" si="12" ref="V15:V25">+T15+U15</f>
        <v>24413270.78</v>
      </c>
      <c r="W15" s="336">
        <v>10569510.17</v>
      </c>
      <c r="X15" s="336">
        <v>13843760.61</v>
      </c>
      <c r="Y15" s="353">
        <f aca="true" t="shared" si="13" ref="Y15:Y27">+W15+X15</f>
        <v>24413270.78</v>
      </c>
      <c r="Z15" s="336">
        <v>10228558.23</v>
      </c>
      <c r="AA15" s="336">
        <v>13397187.69</v>
      </c>
      <c r="AB15" s="353">
        <f aca="true" t="shared" si="14" ref="AB15:AB25">+Z15+AA15</f>
        <v>23625745.92</v>
      </c>
      <c r="AC15" s="336"/>
      <c r="AD15" s="336"/>
      <c r="AE15" s="353">
        <f aca="true" t="shared" si="15" ref="AE15:AE25">+AC15+AD15</f>
        <v>0</v>
      </c>
      <c r="AF15" s="336"/>
      <c r="AG15" s="336"/>
      <c r="AH15" s="353">
        <f aca="true" t="shared" si="16" ref="AH15:AH25">+AF15+AG15</f>
        <v>0</v>
      </c>
      <c r="AI15" s="336"/>
      <c r="AJ15" s="336"/>
      <c r="AK15" s="353">
        <f aca="true" t="shared" si="17" ref="AK15:AK25">+AI15+AJ15</f>
        <v>0</v>
      </c>
      <c r="AL15" s="344">
        <f aca="true" t="shared" si="18" ref="AL15:AM27">B15+E15+H15+K15+N15+Q15+T15+W15+Z15+AC15+AF15+AI15</f>
        <v>52165646.97</v>
      </c>
      <c r="AM15" s="344">
        <f t="shared" si="18"/>
        <v>68325657.21</v>
      </c>
      <c r="AN15" s="353">
        <f aca="true" t="shared" si="19" ref="AN15:AN27">+AL15+AM15</f>
        <v>120491304.17999999</v>
      </c>
    </row>
    <row r="16" spans="1:40" ht="17.4">
      <c r="A16" s="329" t="s">
        <v>62</v>
      </c>
      <c r="B16" s="336"/>
      <c r="C16" s="336"/>
      <c r="D16" s="353"/>
      <c r="E16" s="336"/>
      <c r="F16" s="336"/>
      <c r="G16" s="353"/>
      <c r="H16" s="336"/>
      <c r="I16" s="336"/>
      <c r="J16" s="353"/>
      <c r="K16" s="336"/>
      <c r="L16" s="336"/>
      <c r="M16" s="353"/>
      <c r="N16" s="336">
        <v>82662.5</v>
      </c>
      <c r="O16" s="336">
        <v>143563.45</v>
      </c>
      <c r="P16" s="353">
        <f t="shared" si="10"/>
        <v>226225.95</v>
      </c>
      <c r="Q16" s="336">
        <v>18051.25</v>
      </c>
      <c r="R16" s="336">
        <v>145036.7</v>
      </c>
      <c r="S16" s="353">
        <f t="shared" si="11"/>
        <v>163087.95</v>
      </c>
      <c r="T16" s="336">
        <v>97.03</v>
      </c>
      <c r="U16" s="336">
        <v>146719.7</v>
      </c>
      <c r="V16" s="353">
        <f t="shared" si="12"/>
        <v>146816.73</v>
      </c>
      <c r="W16" s="336">
        <v>-102221.29</v>
      </c>
      <c r="X16" s="336">
        <v>133842.02</v>
      </c>
      <c r="Y16" s="353">
        <f t="shared" si="13"/>
        <v>31620.729999999996</v>
      </c>
      <c r="Z16" s="336">
        <v>-30784.74</v>
      </c>
      <c r="AA16" s="336">
        <v>111515.26</v>
      </c>
      <c r="AB16" s="353">
        <f t="shared" si="14"/>
        <v>80730.51999999999</v>
      </c>
      <c r="AC16" s="336"/>
      <c r="AD16" s="336"/>
      <c r="AE16" s="353">
        <f t="shared" si="15"/>
        <v>0</v>
      </c>
      <c r="AF16" s="336"/>
      <c r="AG16" s="336"/>
      <c r="AH16" s="353">
        <f t="shared" si="16"/>
        <v>0</v>
      </c>
      <c r="AI16" s="336"/>
      <c r="AJ16" s="336"/>
      <c r="AK16" s="353">
        <f t="shared" si="17"/>
        <v>0</v>
      </c>
      <c r="AL16" s="344">
        <f t="shared" si="18"/>
        <v>-32195.249999999996</v>
      </c>
      <c r="AM16" s="344">
        <f t="shared" si="18"/>
        <v>680677.13</v>
      </c>
      <c r="AN16" s="353">
        <f t="shared" si="19"/>
        <v>648481.88</v>
      </c>
    </row>
    <row r="17" spans="1:40" ht="17.4">
      <c r="A17" s="329" t="s">
        <v>64</v>
      </c>
      <c r="B17" s="336"/>
      <c r="C17" s="336"/>
      <c r="D17" s="353"/>
      <c r="E17" s="336"/>
      <c r="F17" s="336"/>
      <c r="G17" s="353"/>
      <c r="H17" s="336"/>
      <c r="I17" s="336"/>
      <c r="J17" s="353"/>
      <c r="K17" s="336"/>
      <c r="L17" s="336"/>
      <c r="M17" s="353"/>
      <c r="N17" s="336">
        <v>0</v>
      </c>
      <c r="O17" s="336">
        <v>5449.03</v>
      </c>
      <c r="P17" s="353">
        <f t="shared" si="10"/>
        <v>5449.03</v>
      </c>
      <c r="Q17" s="336">
        <v>0</v>
      </c>
      <c r="R17" s="336">
        <v>1085.8</v>
      </c>
      <c r="S17" s="353">
        <f t="shared" si="11"/>
        <v>1085.8</v>
      </c>
      <c r="T17" s="336">
        <v>0</v>
      </c>
      <c r="U17" s="336">
        <v>0</v>
      </c>
      <c r="V17" s="353">
        <f t="shared" si="12"/>
        <v>0</v>
      </c>
      <c r="W17" s="336">
        <v>0</v>
      </c>
      <c r="X17" s="336">
        <v>0</v>
      </c>
      <c r="Y17" s="353">
        <f t="shared" si="13"/>
        <v>0</v>
      </c>
      <c r="Z17" s="336">
        <v>0</v>
      </c>
      <c r="AA17" s="336">
        <v>0</v>
      </c>
      <c r="AB17" s="353">
        <f t="shared" si="14"/>
        <v>0</v>
      </c>
      <c r="AC17" s="336">
        <v>0</v>
      </c>
      <c r="AD17" s="336">
        <v>0</v>
      </c>
      <c r="AE17" s="353">
        <f t="shared" si="15"/>
        <v>0</v>
      </c>
      <c r="AF17" s="336">
        <v>0</v>
      </c>
      <c r="AG17" s="336">
        <v>0</v>
      </c>
      <c r="AH17" s="353">
        <f t="shared" si="16"/>
        <v>0</v>
      </c>
      <c r="AI17" s="336">
        <v>0</v>
      </c>
      <c r="AJ17" s="336">
        <v>0</v>
      </c>
      <c r="AK17" s="353">
        <f t="shared" si="17"/>
        <v>0</v>
      </c>
      <c r="AL17" s="344">
        <f>B17+E17+H17+K17+N17+Q17+T17+W17+Z17+AC17+AF17+AI17</f>
        <v>0</v>
      </c>
      <c r="AM17" s="344">
        <f>C17+F17+I17+L17+O17+R17+U17+X17+AA17+AD17+AG17+AJ17</f>
        <v>6534.83</v>
      </c>
      <c r="AN17" s="353">
        <f t="shared" si="19"/>
        <v>6534.83</v>
      </c>
    </row>
    <row r="18" spans="1:40" ht="17.4">
      <c r="A18" s="329" t="s">
        <v>65</v>
      </c>
      <c r="B18" s="336"/>
      <c r="C18" s="336"/>
      <c r="D18" s="353"/>
      <c r="E18" s="336"/>
      <c r="F18" s="336"/>
      <c r="G18" s="353"/>
      <c r="H18" s="336"/>
      <c r="I18" s="336"/>
      <c r="J18" s="353"/>
      <c r="K18" s="336"/>
      <c r="L18" s="336"/>
      <c r="M18" s="353"/>
      <c r="N18" s="336">
        <v>46538.93</v>
      </c>
      <c r="O18" s="336">
        <v>69523.23</v>
      </c>
      <c r="P18" s="353">
        <f t="shared" si="10"/>
        <v>116062.16</v>
      </c>
      <c r="Q18" s="336">
        <v>12986.2</v>
      </c>
      <c r="R18" s="336">
        <v>92319.11</v>
      </c>
      <c r="S18" s="353">
        <f t="shared" si="11"/>
        <v>105305.31</v>
      </c>
      <c r="T18" s="336">
        <v>8707.93</v>
      </c>
      <c r="U18" s="336">
        <v>138799.45</v>
      </c>
      <c r="V18" s="353">
        <f t="shared" si="12"/>
        <v>147507.38</v>
      </c>
      <c r="W18" s="336">
        <v>1674.25</v>
      </c>
      <c r="X18" s="336">
        <v>56744.07</v>
      </c>
      <c r="Y18" s="353">
        <f t="shared" si="13"/>
        <v>58418.32</v>
      </c>
      <c r="Z18" s="336">
        <v>12421.43</v>
      </c>
      <c r="AA18" s="336">
        <v>20173.1</v>
      </c>
      <c r="AB18" s="353">
        <f t="shared" si="14"/>
        <v>32594.53</v>
      </c>
      <c r="AC18" s="336"/>
      <c r="AD18" s="336"/>
      <c r="AE18" s="353">
        <f t="shared" si="15"/>
        <v>0</v>
      </c>
      <c r="AF18" s="336"/>
      <c r="AG18" s="336"/>
      <c r="AH18" s="353">
        <f t="shared" si="16"/>
        <v>0</v>
      </c>
      <c r="AI18" s="336"/>
      <c r="AJ18" s="336"/>
      <c r="AK18" s="353">
        <f t="shared" si="17"/>
        <v>0</v>
      </c>
      <c r="AL18" s="344">
        <f t="shared" si="18"/>
        <v>82328.73999999999</v>
      </c>
      <c r="AM18" s="344">
        <f t="shared" si="18"/>
        <v>377558.96</v>
      </c>
      <c r="AN18" s="353">
        <f t="shared" si="19"/>
        <v>459887.7</v>
      </c>
    </row>
    <row r="19" spans="1:40" ht="17.4">
      <c r="A19" s="329" t="s">
        <v>69</v>
      </c>
      <c r="B19" s="336"/>
      <c r="C19" s="336"/>
      <c r="D19" s="353"/>
      <c r="E19" s="336"/>
      <c r="F19" s="336"/>
      <c r="G19" s="353"/>
      <c r="H19" s="336"/>
      <c r="I19" s="336"/>
      <c r="J19" s="353"/>
      <c r="K19" s="336"/>
      <c r="L19" s="336"/>
      <c r="M19" s="353"/>
      <c r="N19" s="336">
        <v>778766.02</v>
      </c>
      <c r="O19" s="336">
        <v>1020014.18</v>
      </c>
      <c r="P19" s="353">
        <f t="shared" si="10"/>
        <v>1798780.2000000002</v>
      </c>
      <c r="Q19" s="336">
        <v>778766.02</v>
      </c>
      <c r="R19" s="336">
        <v>1020014.18</v>
      </c>
      <c r="S19" s="353">
        <f t="shared" si="11"/>
        <v>1798780.2000000002</v>
      </c>
      <c r="T19" s="336">
        <v>778766.02</v>
      </c>
      <c r="U19" s="336">
        <v>1020014.18</v>
      </c>
      <c r="V19" s="353">
        <f t="shared" si="12"/>
        <v>1798780.2000000002</v>
      </c>
      <c r="W19" s="336">
        <v>778766.02</v>
      </c>
      <c r="X19" s="336">
        <v>1020014.18</v>
      </c>
      <c r="Y19" s="353">
        <f t="shared" si="13"/>
        <v>1798780.2000000002</v>
      </c>
      <c r="Z19" s="336">
        <v>778766.02</v>
      </c>
      <c r="AA19" s="336">
        <v>1020014.18</v>
      </c>
      <c r="AB19" s="353">
        <f t="shared" si="14"/>
        <v>1798780.2000000002</v>
      </c>
      <c r="AC19" s="336"/>
      <c r="AD19" s="336"/>
      <c r="AE19" s="353">
        <f t="shared" si="15"/>
        <v>0</v>
      </c>
      <c r="AF19" s="336"/>
      <c r="AG19" s="336"/>
      <c r="AH19" s="353">
        <f t="shared" si="16"/>
        <v>0</v>
      </c>
      <c r="AI19" s="336"/>
      <c r="AJ19" s="336"/>
      <c r="AK19" s="353">
        <f t="shared" si="17"/>
        <v>0</v>
      </c>
      <c r="AL19" s="344">
        <f t="shared" si="18"/>
        <v>3893830.1</v>
      </c>
      <c r="AM19" s="344">
        <f t="shared" si="18"/>
        <v>5100070.9</v>
      </c>
      <c r="AN19" s="353">
        <f t="shared" si="19"/>
        <v>8993901</v>
      </c>
    </row>
    <row r="20" spans="1:40" ht="17.4">
      <c r="A20" s="329" t="s">
        <v>16</v>
      </c>
      <c r="B20" s="336"/>
      <c r="C20" s="336"/>
      <c r="D20" s="353"/>
      <c r="E20" s="336"/>
      <c r="F20" s="336"/>
      <c r="G20" s="353"/>
      <c r="H20" s="336"/>
      <c r="I20" s="336"/>
      <c r="J20" s="353"/>
      <c r="K20" s="336"/>
      <c r="L20" s="336"/>
      <c r="M20" s="353"/>
      <c r="N20" s="336">
        <v>905027.8</v>
      </c>
      <c r="O20" s="336">
        <v>1190772.88</v>
      </c>
      <c r="P20" s="353">
        <f t="shared" si="10"/>
        <v>2095800.68</v>
      </c>
      <c r="Q20" s="336">
        <v>687689.93</v>
      </c>
      <c r="R20" s="336">
        <v>915421.13</v>
      </c>
      <c r="S20" s="353">
        <f t="shared" si="11"/>
        <v>1603111.06</v>
      </c>
      <c r="T20" s="336">
        <v>797180.53</v>
      </c>
      <c r="U20" s="336">
        <v>1064105.99</v>
      </c>
      <c r="V20" s="353">
        <f t="shared" si="12"/>
        <v>1861286.52</v>
      </c>
      <c r="W20" s="336">
        <v>946425.96</v>
      </c>
      <c r="X20" s="336">
        <v>1283689.56</v>
      </c>
      <c r="Y20" s="353">
        <f t="shared" si="13"/>
        <v>2230115.52</v>
      </c>
      <c r="Z20" s="336">
        <v>856870.33</v>
      </c>
      <c r="AA20" s="336">
        <v>1145417.3</v>
      </c>
      <c r="AB20" s="353">
        <f t="shared" si="14"/>
        <v>2002287.63</v>
      </c>
      <c r="AC20" s="336"/>
      <c r="AD20" s="336"/>
      <c r="AE20" s="353">
        <f t="shared" si="15"/>
        <v>0</v>
      </c>
      <c r="AF20" s="336"/>
      <c r="AG20" s="336"/>
      <c r="AH20" s="353">
        <f t="shared" si="16"/>
        <v>0</v>
      </c>
      <c r="AI20" s="336"/>
      <c r="AJ20" s="336"/>
      <c r="AK20" s="353">
        <f t="shared" si="17"/>
        <v>0</v>
      </c>
      <c r="AL20" s="344">
        <f t="shared" si="18"/>
        <v>4193194.55</v>
      </c>
      <c r="AM20" s="344">
        <f t="shared" si="18"/>
        <v>5599406.86</v>
      </c>
      <c r="AN20" s="353">
        <f t="shared" si="19"/>
        <v>9792601.41</v>
      </c>
    </row>
    <row r="21" spans="1:40" ht="17.4">
      <c r="A21" s="329" t="s">
        <v>34</v>
      </c>
      <c r="B21" s="336"/>
      <c r="C21" s="336"/>
      <c r="D21" s="353"/>
      <c r="E21" s="336"/>
      <c r="F21" s="336"/>
      <c r="G21" s="353"/>
      <c r="H21" s="336"/>
      <c r="I21" s="336"/>
      <c r="J21" s="353"/>
      <c r="K21" s="336"/>
      <c r="L21" s="336"/>
      <c r="M21" s="353"/>
      <c r="N21" s="336">
        <v>-132516.1</v>
      </c>
      <c r="O21" s="336">
        <v>-174355.5</v>
      </c>
      <c r="P21" s="353">
        <f t="shared" si="10"/>
        <v>-306871.6</v>
      </c>
      <c r="Q21" s="336">
        <v>-110186.68</v>
      </c>
      <c r="R21" s="336">
        <v>-146675.43</v>
      </c>
      <c r="S21" s="353">
        <f t="shared" si="11"/>
        <v>-256862.11</v>
      </c>
      <c r="T21" s="336">
        <v>-128793.89</v>
      </c>
      <c r="U21" s="336">
        <v>-171918.84</v>
      </c>
      <c r="V21" s="353">
        <f t="shared" si="12"/>
        <v>-300712.73</v>
      </c>
      <c r="W21" s="336">
        <v>-82252.06</v>
      </c>
      <c r="X21" s="336">
        <v>-111562.99</v>
      </c>
      <c r="Y21" s="353">
        <f t="shared" si="13"/>
        <v>-193815.05</v>
      </c>
      <c r="Z21" s="336">
        <v>-146943.71</v>
      </c>
      <c r="AA21" s="336">
        <v>-196426.29</v>
      </c>
      <c r="AB21" s="353">
        <f t="shared" si="14"/>
        <v>-343370</v>
      </c>
      <c r="AC21" s="336"/>
      <c r="AD21" s="336"/>
      <c r="AE21" s="353">
        <f t="shared" si="15"/>
        <v>0</v>
      </c>
      <c r="AF21" s="336"/>
      <c r="AG21" s="336"/>
      <c r="AH21" s="353">
        <f t="shared" si="16"/>
        <v>0</v>
      </c>
      <c r="AI21" s="336"/>
      <c r="AJ21" s="336"/>
      <c r="AK21" s="353">
        <f t="shared" si="17"/>
        <v>0</v>
      </c>
      <c r="AL21" s="344">
        <f t="shared" si="18"/>
        <v>-600692.44</v>
      </c>
      <c r="AM21" s="344">
        <f t="shared" si="18"/>
        <v>-800939.05</v>
      </c>
      <c r="AN21" s="353">
        <f t="shared" si="19"/>
        <v>-1401631.49</v>
      </c>
    </row>
    <row r="22" spans="1:40" ht="17.4">
      <c r="A22" s="329" t="s">
        <v>35</v>
      </c>
      <c r="B22" s="336"/>
      <c r="C22" s="336"/>
      <c r="D22" s="353"/>
      <c r="E22" s="336"/>
      <c r="F22" s="336"/>
      <c r="G22" s="353"/>
      <c r="H22" s="336"/>
      <c r="I22" s="336"/>
      <c r="J22" s="353"/>
      <c r="K22" s="336"/>
      <c r="L22" s="336"/>
      <c r="M22" s="353"/>
      <c r="N22" s="336">
        <v>522717.5</v>
      </c>
      <c r="O22" s="336">
        <v>687755.47</v>
      </c>
      <c r="P22" s="353">
        <f t="shared" si="10"/>
        <v>1210472.97</v>
      </c>
      <c r="Q22" s="336">
        <v>579326.67</v>
      </c>
      <c r="R22" s="336">
        <v>771172.95</v>
      </c>
      <c r="S22" s="353">
        <f t="shared" si="11"/>
        <v>1350499.62</v>
      </c>
      <c r="T22" s="336">
        <v>551398.85</v>
      </c>
      <c r="U22" s="336">
        <v>736027.53</v>
      </c>
      <c r="V22" s="353">
        <f t="shared" si="12"/>
        <v>1287426.38</v>
      </c>
      <c r="W22" s="336">
        <v>596063.81</v>
      </c>
      <c r="X22" s="336">
        <v>808474.12</v>
      </c>
      <c r="Y22" s="353">
        <f t="shared" si="13"/>
        <v>1404537.9300000002</v>
      </c>
      <c r="Z22" s="336">
        <v>536383.27</v>
      </c>
      <c r="AA22" s="336">
        <v>717007.76</v>
      </c>
      <c r="AB22" s="353">
        <f t="shared" si="14"/>
        <v>1253391.03</v>
      </c>
      <c r="AC22" s="336"/>
      <c r="AD22" s="336"/>
      <c r="AE22" s="353">
        <f t="shared" si="15"/>
        <v>0</v>
      </c>
      <c r="AF22" s="336"/>
      <c r="AG22" s="336"/>
      <c r="AH22" s="353">
        <f t="shared" si="16"/>
        <v>0</v>
      </c>
      <c r="AI22" s="336"/>
      <c r="AJ22" s="336"/>
      <c r="AK22" s="353">
        <f t="shared" si="17"/>
        <v>0</v>
      </c>
      <c r="AL22" s="344">
        <f t="shared" si="18"/>
        <v>2785890.1</v>
      </c>
      <c r="AM22" s="344">
        <f t="shared" si="18"/>
        <v>3720437.83</v>
      </c>
      <c r="AN22" s="353">
        <f t="shared" si="19"/>
        <v>6506327.93</v>
      </c>
    </row>
    <row r="23" spans="1:40" ht="17.4">
      <c r="A23" s="329" t="s">
        <v>36</v>
      </c>
      <c r="B23" s="336"/>
      <c r="C23" s="336"/>
      <c r="D23" s="353"/>
      <c r="E23" s="336"/>
      <c r="F23" s="336"/>
      <c r="G23" s="353"/>
      <c r="H23" s="336"/>
      <c r="I23" s="336"/>
      <c r="J23" s="353"/>
      <c r="K23" s="336"/>
      <c r="L23" s="336"/>
      <c r="M23" s="353"/>
      <c r="N23" s="336">
        <v>498764.39</v>
      </c>
      <c r="O23" s="336">
        <v>653271.01</v>
      </c>
      <c r="P23" s="353">
        <f t="shared" si="10"/>
        <v>1152035.4</v>
      </c>
      <c r="Q23" s="336">
        <v>488377.96</v>
      </c>
      <c r="R23" s="336">
        <v>639667.04</v>
      </c>
      <c r="S23" s="353">
        <f t="shared" si="11"/>
        <v>1128045</v>
      </c>
      <c r="T23" s="336">
        <v>498764.39</v>
      </c>
      <c r="U23" s="336">
        <v>653271.01</v>
      </c>
      <c r="V23" s="353">
        <f t="shared" si="12"/>
        <v>1152035.4</v>
      </c>
      <c r="W23" s="336">
        <v>498764.39</v>
      </c>
      <c r="X23" s="336">
        <v>653271.01</v>
      </c>
      <c r="Y23" s="353">
        <f t="shared" si="13"/>
        <v>1152035.4</v>
      </c>
      <c r="Z23" s="336">
        <v>488377.96</v>
      </c>
      <c r="AA23" s="336">
        <v>639667.04</v>
      </c>
      <c r="AB23" s="353">
        <f t="shared" si="14"/>
        <v>1128045</v>
      </c>
      <c r="AC23" s="336"/>
      <c r="AD23" s="336"/>
      <c r="AE23" s="353">
        <f t="shared" si="15"/>
        <v>0</v>
      </c>
      <c r="AF23" s="336"/>
      <c r="AG23" s="336"/>
      <c r="AH23" s="353">
        <f t="shared" si="16"/>
        <v>0</v>
      </c>
      <c r="AI23" s="336"/>
      <c r="AJ23" s="336"/>
      <c r="AK23" s="353">
        <f t="shared" si="17"/>
        <v>0</v>
      </c>
      <c r="AL23" s="344">
        <f t="shared" si="18"/>
        <v>2473049.0900000003</v>
      </c>
      <c r="AM23" s="344">
        <f t="shared" si="18"/>
        <v>3239147.1100000003</v>
      </c>
      <c r="AN23" s="353">
        <f t="shared" si="19"/>
        <v>5712196.200000001</v>
      </c>
    </row>
    <row r="24" spans="1:40" ht="17.4">
      <c r="A24" s="329" t="s">
        <v>70</v>
      </c>
      <c r="B24" s="336"/>
      <c r="C24" s="336"/>
      <c r="D24" s="353"/>
      <c r="E24" s="336"/>
      <c r="F24" s="336"/>
      <c r="G24" s="353"/>
      <c r="H24" s="336"/>
      <c r="I24" s="336"/>
      <c r="J24" s="353"/>
      <c r="K24" s="336"/>
      <c r="L24" s="336"/>
      <c r="M24" s="353"/>
      <c r="N24" s="336">
        <v>0</v>
      </c>
      <c r="O24" s="336">
        <v>0</v>
      </c>
      <c r="P24" s="353">
        <f t="shared" si="10"/>
        <v>0</v>
      </c>
      <c r="Q24" s="336">
        <v>0</v>
      </c>
      <c r="R24" s="336">
        <v>0</v>
      </c>
      <c r="S24" s="353">
        <f t="shared" si="11"/>
        <v>0</v>
      </c>
      <c r="T24" s="336">
        <v>0</v>
      </c>
      <c r="U24" s="336">
        <v>0</v>
      </c>
      <c r="V24" s="353">
        <f t="shared" si="12"/>
        <v>0</v>
      </c>
      <c r="W24" s="336">
        <v>-31370.64</v>
      </c>
      <c r="X24" s="336">
        <v>0</v>
      </c>
      <c r="Y24" s="353">
        <f t="shared" si="13"/>
        <v>-31370.64</v>
      </c>
      <c r="Z24" s="336">
        <v>-55164.56</v>
      </c>
      <c r="AA24" s="336">
        <v>0</v>
      </c>
      <c r="AB24" s="353">
        <f t="shared" si="14"/>
        <v>-55164.56</v>
      </c>
      <c r="AC24" s="336"/>
      <c r="AD24" s="336"/>
      <c r="AE24" s="353">
        <f t="shared" si="15"/>
        <v>0</v>
      </c>
      <c r="AF24" s="336"/>
      <c r="AG24" s="336"/>
      <c r="AH24" s="353">
        <f t="shared" si="16"/>
        <v>0</v>
      </c>
      <c r="AI24" s="336"/>
      <c r="AJ24" s="336"/>
      <c r="AK24" s="353">
        <f t="shared" si="17"/>
        <v>0</v>
      </c>
      <c r="AL24" s="344">
        <f t="shared" si="18"/>
        <v>-86535.2</v>
      </c>
      <c r="AM24" s="344">
        <f t="shared" si="18"/>
        <v>0</v>
      </c>
      <c r="AN24" s="353">
        <f t="shared" si="19"/>
        <v>-86535.2</v>
      </c>
    </row>
    <row r="25" spans="1:40" ht="17.4">
      <c r="A25" s="329" t="s">
        <v>71</v>
      </c>
      <c r="B25" s="344"/>
      <c r="C25" s="344"/>
      <c r="D25" s="354"/>
      <c r="E25" s="344"/>
      <c r="F25" s="344"/>
      <c r="G25" s="354"/>
      <c r="H25" s="344"/>
      <c r="I25" s="344"/>
      <c r="J25" s="354"/>
      <c r="K25" s="344"/>
      <c r="L25" s="344"/>
      <c r="M25" s="354"/>
      <c r="N25" s="344">
        <v>0</v>
      </c>
      <c r="O25" s="344">
        <v>0</v>
      </c>
      <c r="P25" s="354">
        <f t="shared" si="10"/>
        <v>0</v>
      </c>
      <c r="Q25" s="336">
        <v>0</v>
      </c>
      <c r="R25" s="336">
        <v>0</v>
      </c>
      <c r="S25" s="354">
        <f t="shared" si="11"/>
        <v>0</v>
      </c>
      <c r="T25" s="336">
        <v>0</v>
      </c>
      <c r="U25" s="336">
        <v>0</v>
      </c>
      <c r="V25" s="354">
        <f t="shared" si="12"/>
        <v>0</v>
      </c>
      <c r="W25" s="336">
        <v>0</v>
      </c>
      <c r="X25" s="336">
        <v>0</v>
      </c>
      <c r="Y25" s="353">
        <f t="shared" si="13"/>
        <v>0</v>
      </c>
      <c r="Z25" s="336">
        <v>0</v>
      </c>
      <c r="AA25" s="336"/>
      <c r="AB25" s="354">
        <f t="shared" si="14"/>
        <v>0</v>
      </c>
      <c r="AC25" s="336"/>
      <c r="AD25" s="336"/>
      <c r="AE25" s="354">
        <f t="shared" si="15"/>
        <v>0</v>
      </c>
      <c r="AF25" s="336"/>
      <c r="AG25" s="336"/>
      <c r="AH25" s="354">
        <f t="shared" si="16"/>
        <v>0</v>
      </c>
      <c r="AI25" s="336"/>
      <c r="AJ25" s="336"/>
      <c r="AK25" s="354">
        <f t="shared" si="17"/>
        <v>0</v>
      </c>
      <c r="AL25" s="344">
        <f>B25+E25+H25+K25+N25+Q25+T25+W25+Z25+AC25+AF25+AI25</f>
        <v>0</v>
      </c>
      <c r="AM25" s="344">
        <f>C25+F25+I25+L25+O25+R25+U25+X25+AA25+AD25+AG25+AJ25</f>
        <v>0</v>
      </c>
      <c r="AN25" s="354">
        <f t="shared" si="19"/>
        <v>0</v>
      </c>
    </row>
    <row r="26" spans="1:40" ht="17.4">
      <c r="A26" s="329" t="s">
        <v>72</v>
      </c>
      <c r="B26" s="344"/>
      <c r="C26" s="344"/>
      <c r="D26" s="354"/>
      <c r="E26" s="344"/>
      <c r="F26" s="344"/>
      <c r="G26" s="354"/>
      <c r="H26" s="344"/>
      <c r="I26" s="344"/>
      <c r="J26" s="354"/>
      <c r="K26" s="344"/>
      <c r="L26" s="344"/>
      <c r="M26" s="354"/>
      <c r="N26" s="344">
        <v>0</v>
      </c>
      <c r="O26" s="344">
        <v>0</v>
      </c>
      <c r="P26" s="354">
        <f>+N26+O26</f>
        <v>0</v>
      </c>
      <c r="Q26" s="344">
        <v>0</v>
      </c>
      <c r="R26" s="344">
        <v>0</v>
      </c>
      <c r="S26" s="354">
        <f>+Q26+R26</f>
        <v>0</v>
      </c>
      <c r="T26" s="344">
        <v>0</v>
      </c>
      <c r="U26" s="344">
        <v>0</v>
      </c>
      <c r="V26" s="354">
        <f>+T26+U26</f>
        <v>0</v>
      </c>
      <c r="W26" s="344">
        <v>0</v>
      </c>
      <c r="X26" s="344">
        <v>0</v>
      </c>
      <c r="Y26" s="353">
        <f t="shared" si="13"/>
        <v>0</v>
      </c>
      <c r="Z26" s="344">
        <v>0</v>
      </c>
      <c r="AA26" s="344"/>
      <c r="AB26" s="354">
        <f>+Z26+AA26</f>
        <v>0</v>
      </c>
      <c r="AC26" s="344"/>
      <c r="AD26" s="344"/>
      <c r="AE26" s="354">
        <f>+AC26+AD26</f>
        <v>0</v>
      </c>
      <c r="AF26" s="344"/>
      <c r="AG26" s="344"/>
      <c r="AH26" s="354">
        <f>+AF26+AG26</f>
        <v>0</v>
      </c>
      <c r="AI26" s="344"/>
      <c r="AJ26" s="344"/>
      <c r="AK26" s="354">
        <f>+AI26+AJ26</f>
        <v>0</v>
      </c>
      <c r="AL26" s="344">
        <f>B26+E26+H26+K26+N26+Q26+T26+W26+Z26+AC26+AF26+AI26</f>
        <v>0</v>
      </c>
      <c r="AM26" s="344">
        <f>C26+F26+I26+L26+O26+R26+U26+X26+AA26+AD26+AG26+AJ26</f>
        <v>0</v>
      </c>
      <c r="AN26" s="354">
        <f t="shared" si="19"/>
        <v>0</v>
      </c>
    </row>
    <row r="27" spans="1:40" ht="18" thickBot="1">
      <c r="A27" s="329"/>
      <c r="B27" s="355"/>
      <c r="C27" s="355"/>
      <c r="D27" s="356"/>
      <c r="E27" s="355"/>
      <c r="F27" s="355"/>
      <c r="G27" s="356"/>
      <c r="H27" s="355"/>
      <c r="I27" s="355"/>
      <c r="J27" s="356"/>
      <c r="K27" s="355"/>
      <c r="L27" s="355"/>
      <c r="M27" s="356"/>
      <c r="N27" s="355">
        <v>0</v>
      </c>
      <c r="O27" s="355">
        <v>0</v>
      </c>
      <c r="P27" s="356">
        <f>+N27+O27</f>
        <v>0</v>
      </c>
      <c r="Q27" s="355">
        <v>0</v>
      </c>
      <c r="R27" s="355">
        <v>0</v>
      </c>
      <c r="S27" s="356">
        <f>+Q27+R27</f>
        <v>0</v>
      </c>
      <c r="T27" s="355">
        <v>0</v>
      </c>
      <c r="U27" s="355">
        <v>0</v>
      </c>
      <c r="V27" s="356">
        <f>+T27+U27</f>
        <v>0</v>
      </c>
      <c r="W27" s="355">
        <v>0</v>
      </c>
      <c r="X27" s="355">
        <v>0</v>
      </c>
      <c r="Y27" s="356">
        <f t="shared" si="13"/>
        <v>0</v>
      </c>
      <c r="Z27" s="355">
        <v>0</v>
      </c>
      <c r="AA27" s="355"/>
      <c r="AB27" s="356">
        <f>+Z27+AA27</f>
        <v>0</v>
      </c>
      <c r="AC27" s="355"/>
      <c r="AD27" s="355"/>
      <c r="AE27" s="356">
        <f>+AC27+AD27</f>
        <v>0</v>
      </c>
      <c r="AF27" s="355"/>
      <c r="AG27" s="355"/>
      <c r="AH27" s="356">
        <f>+AF27+AG27</f>
        <v>0</v>
      </c>
      <c r="AI27" s="355"/>
      <c r="AJ27" s="355"/>
      <c r="AK27" s="356">
        <f>+AI27+AJ27</f>
        <v>0</v>
      </c>
      <c r="AL27" s="355">
        <f t="shared" si="18"/>
        <v>0</v>
      </c>
      <c r="AM27" s="355">
        <f t="shared" si="18"/>
        <v>0</v>
      </c>
      <c r="AN27" s="356">
        <f t="shared" si="19"/>
        <v>0</v>
      </c>
    </row>
    <row r="28" spans="1:40" ht="21">
      <c r="A28" s="357" t="s">
        <v>73</v>
      </c>
      <c r="B28" s="358"/>
      <c r="C28" s="358"/>
      <c r="D28" s="359"/>
      <c r="E28" s="358"/>
      <c r="F28" s="358"/>
      <c r="G28" s="359"/>
      <c r="H28" s="358"/>
      <c r="I28" s="358"/>
      <c r="J28" s="359"/>
      <c r="K28" s="358"/>
      <c r="L28" s="358"/>
      <c r="M28" s="359"/>
      <c r="N28" s="358">
        <f>SUM(N15:N27)</f>
        <v>13271471.21</v>
      </c>
      <c r="O28" s="358">
        <f>SUM(O15:O27)</f>
        <v>17439754.36</v>
      </c>
      <c r="P28" s="359">
        <f>+N28+O28</f>
        <v>30711225.57</v>
      </c>
      <c r="Q28" s="358">
        <f>SUM(Q15:Q27)</f>
        <v>12683569.58</v>
      </c>
      <c r="R28" s="358">
        <f>SUM(R15:R27)</f>
        <v>16835229.169999998</v>
      </c>
      <c r="S28" s="359">
        <f>+Q28+R28</f>
        <v>29518798.75</v>
      </c>
      <c r="T28" s="358">
        <f>SUM(T15:T27)</f>
        <v>13075631.029999997</v>
      </c>
      <c r="U28" s="358">
        <f>SUM(U15:U27)</f>
        <v>17430779.63</v>
      </c>
      <c r="V28" s="359">
        <f>+T28+U28</f>
        <v>30506410.659999996</v>
      </c>
      <c r="W28" s="358">
        <f>SUM(W15:W27)</f>
        <v>13175360.61</v>
      </c>
      <c r="X28" s="358">
        <f>SUM(X15:X27)</f>
        <v>17688232.580000002</v>
      </c>
      <c r="Y28" s="359">
        <f>+W28+X28</f>
        <v>30863593.19</v>
      </c>
      <c r="Z28" s="358">
        <f>SUM(Z15:Z27)</f>
        <v>12668484.229999999</v>
      </c>
      <c r="AA28" s="358">
        <f>SUM(AA15:AA27)</f>
        <v>16854556.04</v>
      </c>
      <c r="AB28" s="359">
        <f>+Z28+AA28</f>
        <v>29523040.269999996</v>
      </c>
      <c r="AC28" s="358">
        <f>SUM(AC15:AC27)</f>
        <v>0</v>
      </c>
      <c r="AD28" s="358">
        <f>SUM(AD15:AD27)</f>
        <v>0</v>
      </c>
      <c r="AE28" s="359">
        <f>+AC28+AD28</f>
        <v>0</v>
      </c>
      <c r="AF28" s="358">
        <f>SUM(AF15:AF27)</f>
        <v>0</v>
      </c>
      <c r="AG28" s="358">
        <f>SUM(AG15:AG27)</f>
        <v>0</v>
      </c>
      <c r="AH28" s="359">
        <f>+AF28+AG28</f>
        <v>0</v>
      </c>
      <c r="AI28" s="358">
        <f>SUM(AI15:AI27)</f>
        <v>0</v>
      </c>
      <c r="AJ28" s="358">
        <f>SUM(AJ15:AJ27)</f>
        <v>0</v>
      </c>
      <c r="AK28" s="359">
        <f>+AI28+AJ28</f>
        <v>0</v>
      </c>
      <c r="AL28" s="358">
        <f>SUM(AL15:AL27)</f>
        <v>64874516.660000004</v>
      </c>
      <c r="AM28" s="358">
        <f>SUM(AM15:AM27)</f>
        <v>86248551.77999999</v>
      </c>
      <c r="AN28" s="359">
        <f>+AL28+AM28</f>
        <v>151123068.44</v>
      </c>
    </row>
    <row r="29" spans="1:40" ht="17.4">
      <c r="A29" s="329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53"/>
      <c r="AM29" s="353"/>
      <c r="AN29" s="336"/>
    </row>
    <row r="30" spans="1:40" ht="17.4">
      <c r="A30" s="329" t="s">
        <v>74</v>
      </c>
      <c r="B30" s="336"/>
      <c r="C30" s="336"/>
      <c r="D30" s="353"/>
      <c r="E30" s="336"/>
      <c r="F30" s="336"/>
      <c r="G30" s="353"/>
      <c r="H30" s="336"/>
      <c r="I30" s="336"/>
      <c r="J30" s="353"/>
      <c r="K30" s="336"/>
      <c r="L30" s="336"/>
      <c r="M30" s="353"/>
      <c r="N30" s="336">
        <f aca="true" t="shared" si="20" ref="N30:AN30">+N28/N12*1000</f>
        <v>48.529430945031464</v>
      </c>
      <c r="O30" s="336">
        <f t="shared" si="20"/>
        <v>48.40215951385585</v>
      </c>
      <c r="P30" s="353">
        <f t="shared" si="20"/>
        <v>48.45707626760069</v>
      </c>
      <c r="Q30" s="336">
        <f t="shared" si="20"/>
        <v>48.61680227793164</v>
      </c>
      <c r="R30" s="336">
        <f t="shared" si="20"/>
        <v>48.16693067898543</v>
      </c>
      <c r="S30" s="353">
        <f t="shared" si="20"/>
        <v>48.35920627484925</v>
      </c>
      <c r="T30" s="336">
        <f t="shared" si="20"/>
        <v>48.69895132511961</v>
      </c>
      <c r="U30" s="336">
        <f t="shared" si="20"/>
        <v>48.3198114554917</v>
      </c>
      <c r="V30" s="353">
        <f t="shared" si="20"/>
        <v>48.48159273692265</v>
      </c>
      <c r="W30" s="336">
        <f t="shared" si="20"/>
        <v>50.139295175198946</v>
      </c>
      <c r="X30" s="336">
        <f t="shared" si="20"/>
        <v>49.25728816852878</v>
      </c>
      <c r="Y30" s="353">
        <f t="shared" si="20"/>
        <v>49.62998351164214</v>
      </c>
      <c r="Z30" s="336">
        <f t="shared" si="20"/>
        <v>49.30602142844655</v>
      </c>
      <c r="AA30" s="336">
        <f t="shared" si="20"/>
        <v>48.73963696958271</v>
      </c>
      <c r="AB30" s="353">
        <f t="shared" si="20"/>
        <v>48.981073646382214</v>
      </c>
      <c r="AC30" s="336" t="e">
        <f t="shared" si="20"/>
        <v>#DIV/0!</v>
      </c>
      <c r="AD30" s="336" t="e">
        <f t="shared" si="20"/>
        <v>#DIV/0!</v>
      </c>
      <c r="AE30" s="353" t="e">
        <f t="shared" si="20"/>
        <v>#DIV/0!</v>
      </c>
      <c r="AF30" s="336">
        <f t="shared" si="20"/>
        <v>0</v>
      </c>
      <c r="AG30" s="336">
        <f t="shared" si="20"/>
        <v>0</v>
      </c>
      <c r="AH30" s="353">
        <f t="shared" si="20"/>
        <v>0</v>
      </c>
      <c r="AI30" s="336" t="e">
        <f t="shared" si="20"/>
        <v>#DIV/0!</v>
      </c>
      <c r="AJ30" s="336" t="e">
        <f t="shared" si="20"/>
        <v>#DIV/0!</v>
      </c>
      <c r="AK30" s="353" t="e">
        <f t="shared" si="20"/>
        <v>#DIV/0!</v>
      </c>
      <c r="AL30" s="353">
        <f t="shared" si="20"/>
        <v>39.01826042691645</v>
      </c>
      <c r="AM30" s="353">
        <f t="shared" si="20"/>
        <v>42.37980752595116</v>
      </c>
      <c r="AN30" s="353">
        <f t="shared" si="20"/>
        <v>40.868330445934795</v>
      </c>
    </row>
    <row r="31" spans="1:40" ht="17.4">
      <c r="A31" s="329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</row>
    <row r="32" spans="1:40" ht="17.4">
      <c r="A32" s="329" t="s">
        <v>27</v>
      </c>
      <c r="B32" s="344"/>
      <c r="C32" s="344"/>
      <c r="D32" s="354"/>
      <c r="E32" s="344"/>
      <c r="F32" s="344"/>
      <c r="G32" s="354"/>
      <c r="H32" s="344"/>
      <c r="I32" s="344"/>
      <c r="J32" s="354"/>
      <c r="K32" s="344"/>
      <c r="L32" s="344"/>
      <c r="M32" s="354"/>
      <c r="N32" s="344">
        <v>0</v>
      </c>
      <c r="O32" s="344">
        <v>0</v>
      </c>
      <c r="P32" s="354">
        <f>+N32+O32</f>
        <v>0</v>
      </c>
      <c r="Q32" s="344">
        <v>0</v>
      </c>
      <c r="R32" s="344">
        <v>0</v>
      </c>
      <c r="S32" s="354">
        <f>+Q32+R32</f>
        <v>0</v>
      </c>
      <c r="T32" s="344">
        <v>0</v>
      </c>
      <c r="U32" s="344">
        <v>0</v>
      </c>
      <c r="V32" s="354">
        <f>+T32+U32</f>
        <v>0</v>
      </c>
      <c r="W32" s="344">
        <v>0</v>
      </c>
      <c r="X32" s="344">
        <v>0</v>
      </c>
      <c r="Y32" s="354">
        <f>+W32+X32</f>
        <v>0</v>
      </c>
      <c r="Z32" s="344">
        <v>0</v>
      </c>
      <c r="AA32" s="344">
        <v>0</v>
      </c>
      <c r="AB32" s="354">
        <v>0</v>
      </c>
      <c r="AC32" s="344">
        <v>0</v>
      </c>
      <c r="AD32" s="344">
        <v>0</v>
      </c>
      <c r="AE32" s="354">
        <f>+AC32+AD32</f>
        <v>0</v>
      </c>
      <c r="AF32" s="344">
        <v>0</v>
      </c>
      <c r="AG32" s="344">
        <v>0</v>
      </c>
      <c r="AH32" s="354">
        <f>+AF32+AG32</f>
        <v>0</v>
      </c>
      <c r="AI32" s="344">
        <v>0</v>
      </c>
      <c r="AJ32" s="344">
        <v>0</v>
      </c>
      <c r="AK32" s="354">
        <f>+AI32+AJ32</f>
        <v>0</v>
      </c>
      <c r="AL32" s="344">
        <f>B32+E32+H32+K32+N32+Q32+T32+W32+Z32+AC32</f>
        <v>0</v>
      </c>
      <c r="AM32" s="344">
        <f>C32+F32+I32+L32+O32+R32+U32+X32+AA32+AD32</f>
        <v>0</v>
      </c>
      <c r="AN32" s="354">
        <f>+AL32+AM32</f>
        <v>0</v>
      </c>
    </row>
    <row r="33" spans="1:40" ht="51" customHeight="1" thickBot="1">
      <c r="A33" s="360"/>
      <c r="B33" s="355"/>
      <c r="C33" s="355"/>
      <c r="D33" s="356"/>
      <c r="E33" s="355"/>
      <c r="F33" s="355"/>
      <c r="G33" s="356"/>
      <c r="H33" s="355"/>
      <c r="I33" s="355"/>
      <c r="J33" s="356"/>
      <c r="K33" s="355"/>
      <c r="L33" s="355"/>
      <c r="M33" s="356"/>
      <c r="N33" s="355">
        <f>-N27</f>
        <v>0</v>
      </c>
      <c r="O33" s="355">
        <f>-O27</f>
        <v>0</v>
      </c>
      <c r="P33" s="356">
        <f>+N33+O33</f>
        <v>0</v>
      </c>
      <c r="Q33" s="355">
        <f>-Q27</f>
        <v>0</v>
      </c>
      <c r="R33" s="355">
        <f>-R27</f>
        <v>0</v>
      </c>
      <c r="S33" s="356">
        <f>+Q33+R33</f>
        <v>0</v>
      </c>
      <c r="T33" s="355">
        <f>-T27</f>
        <v>0</v>
      </c>
      <c r="U33" s="355">
        <f>-U27</f>
        <v>0</v>
      </c>
      <c r="V33" s="356">
        <f>+T33+U33</f>
        <v>0</v>
      </c>
      <c r="W33" s="355">
        <f>-W27</f>
        <v>0</v>
      </c>
      <c r="X33" s="355">
        <f>-X27</f>
        <v>0</v>
      </c>
      <c r="Y33" s="356">
        <f>+W33+X33</f>
        <v>0</v>
      </c>
      <c r="Z33" s="355">
        <f>-Z27</f>
        <v>0</v>
      </c>
      <c r="AA33" s="355">
        <f>-AA27</f>
        <v>0</v>
      </c>
      <c r="AB33" s="356">
        <f>+Z33+AA33</f>
        <v>0</v>
      </c>
      <c r="AC33" s="355">
        <f>-AC27</f>
        <v>0</v>
      </c>
      <c r="AD33" s="355">
        <f>-AD27</f>
        <v>0</v>
      </c>
      <c r="AE33" s="356">
        <f>+AC33+AD33</f>
        <v>0</v>
      </c>
      <c r="AF33" s="355">
        <f>-AF27</f>
        <v>0</v>
      </c>
      <c r="AG33" s="355">
        <f>-AG27</f>
        <v>0</v>
      </c>
      <c r="AH33" s="356">
        <f>+AF33+AG33</f>
        <v>0</v>
      </c>
      <c r="AI33" s="355">
        <f>-AI27</f>
        <v>0</v>
      </c>
      <c r="AJ33" s="355">
        <f>-AJ27</f>
        <v>0</v>
      </c>
      <c r="AK33" s="356">
        <f>+AI33+AJ33</f>
        <v>0</v>
      </c>
      <c r="AL33" s="355">
        <f>B33+E33+H33+K33+N33+Q33+T33+W33+Z33+AC33</f>
        <v>0</v>
      </c>
      <c r="AM33" s="355">
        <f>C33+F33+I33+L33+O33+R33+U33+X33+AA33+AD33</f>
        <v>0</v>
      </c>
      <c r="AN33" s="356">
        <f>+AL33+AM33</f>
        <v>0</v>
      </c>
    </row>
    <row r="34" spans="1:40" ht="21">
      <c r="A34" s="361" t="s">
        <v>75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>
        <f aca="true" t="shared" si="21" ref="N34:AN34">N28+N32+N33</f>
        <v>13271471.21</v>
      </c>
      <c r="O34" s="358">
        <f t="shared" si="21"/>
        <v>17439754.36</v>
      </c>
      <c r="P34" s="358">
        <f t="shared" si="21"/>
        <v>30711225.57</v>
      </c>
      <c r="Q34" s="358">
        <f t="shared" si="21"/>
        <v>12683569.58</v>
      </c>
      <c r="R34" s="358">
        <f t="shared" si="21"/>
        <v>16835229.169999998</v>
      </c>
      <c r="S34" s="358">
        <f t="shared" si="21"/>
        <v>29518798.75</v>
      </c>
      <c r="T34" s="358">
        <f t="shared" si="21"/>
        <v>13075631.029999997</v>
      </c>
      <c r="U34" s="358">
        <f t="shared" si="21"/>
        <v>17430779.63</v>
      </c>
      <c r="V34" s="358">
        <f t="shared" si="21"/>
        <v>30506410.659999996</v>
      </c>
      <c r="W34" s="358">
        <f t="shared" si="21"/>
        <v>13175360.61</v>
      </c>
      <c r="X34" s="358">
        <f t="shared" si="21"/>
        <v>17688232.580000002</v>
      </c>
      <c r="Y34" s="358">
        <f t="shared" si="21"/>
        <v>30863593.19</v>
      </c>
      <c r="Z34" s="358">
        <f t="shared" si="21"/>
        <v>12668484.229999999</v>
      </c>
      <c r="AA34" s="358">
        <f t="shared" si="21"/>
        <v>16854556.04</v>
      </c>
      <c r="AB34" s="358">
        <f t="shared" si="21"/>
        <v>29523040.269999996</v>
      </c>
      <c r="AC34" s="358">
        <f t="shared" si="21"/>
        <v>0</v>
      </c>
      <c r="AD34" s="358">
        <f t="shared" si="21"/>
        <v>0</v>
      </c>
      <c r="AE34" s="358">
        <f t="shared" si="21"/>
        <v>0</v>
      </c>
      <c r="AF34" s="358">
        <f t="shared" si="21"/>
        <v>0</v>
      </c>
      <c r="AG34" s="358">
        <f t="shared" si="21"/>
        <v>0</v>
      </c>
      <c r="AH34" s="358">
        <f t="shared" si="21"/>
        <v>0</v>
      </c>
      <c r="AI34" s="358">
        <f t="shared" si="21"/>
        <v>0</v>
      </c>
      <c r="AJ34" s="358">
        <f t="shared" si="21"/>
        <v>0</v>
      </c>
      <c r="AK34" s="358">
        <f t="shared" si="21"/>
        <v>0</v>
      </c>
      <c r="AL34" s="358">
        <f t="shared" si="21"/>
        <v>64874516.660000004</v>
      </c>
      <c r="AM34" s="358">
        <f t="shared" si="21"/>
        <v>86248551.77999999</v>
      </c>
      <c r="AN34" s="358">
        <f t="shared" si="21"/>
        <v>151123068.44</v>
      </c>
    </row>
    <row r="35" spans="1:40" ht="17.4">
      <c r="A35" s="329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</row>
    <row r="36" spans="1:40" ht="17.4">
      <c r="A36" s="329" t="s">
        <v>74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>
        <f aca="true" t="shared" si="22" ref="N36:AN36">ROUND(N34/N12*1000,2)</f>
        <v>48.53</v>
      </c>
      <c r="O36" s="362">
        <f t="shared" si="22"/>
        <v>48.4</v>
      </c>
      <c r="P36" s="362">
        <f t="shared" si="22"/>
        <v>48.46</v>
      </c>
      <c r="Q36" s="362">
        <f t="shared" si="22"/>
        <v>48.62</v>
      </c>
      <c r="R36" s="362">
        <f t="shared" si="22"/>
        <v>48.17</v>
      </c>
      <c r="S36" s="362">
        <f t="shared" si="22"/>
        <v>48.36</v>
      </c>
      <c r="T36" s="362">
        <f t="shared" si="22"/>
        <v>48.7</v>
      </c>
      <c r="U36" s="362">
        <f t="shared" si="22"/>
        <v>48.32</v>
      </c>
      <c r="V36" s="362">
        <f t="shared" si="22"/>
        <v>48.48</v>
      </c>
      <c r="W36" s="362">
        <f t="shared" si="22"/>
        <v>50.14</v>
      </c>
      <c r="X36" s="362">
        <f t="shared" si="22"/>
        <v>49.26</v>
      </c>
      <c r="Y36" s="362">
        <f t="shared" si="22"/>
        <v>49.63</v>
      </c>
      <c r="Z36" s="362">
        <f t="shared" si="22"/>
        <v>49.31</v>
      </c>
      <c r="AA36" s="362">
        <f t="shared" si="22"/>
        <v>48.74</v>
      </c>
      <c r="AB36" s="362">
        <f t="shared" si="22"/>
        <v>48.98</v>
      </c>
      <c r="AC36" s="362" t="e">
        <f t="shared" si="22"/>
        <v>#DIV/0!</v>
      </c>
      <c r="AD36" s="362" t="e">
        <f t="shared" si="22"/>
        <v>#DIV/0!</v>
      </c>
      <c r="AE36" s="362" t="e">
        <f t="shared" si="22"/>
        <v>#DIV/0!</v>
      </c>
      <c r="AF36" s="362">
        <f t="shared" si="22"/>
        <v>0</v>
      </c>
      <c r="AG36" s="362">
        <f t="shared" si="22"/>
        <v>0</v>
      </c>
      <c r="AH36" s="362">
        <f t="shared" si="22"/>
        <v>0</v>
      </c>
      <c r="AI36" s="362" t="e">
        <f t="shared" si="22"/>
        <v>#DIV/0!</v>
      </c>
      <c r="AJ36" s="362" t="e">
        <f t="shared" si="22"/>
        <v>#DIV/0!</v>
      </c>
      <c r="AK36" s="362" t="e">
        <f t="shared" si="22"/>
        <v>#DIV/0!</v>
      </c>
      <c r="AL36" s="329">
        <f t="shared" si="22"/>
        <v>39.02</v>
      </c>
      <c r="AM36" s="329">
        <f t="shared" si="22"/>
        <v>42.38</v>
      </c>
      <c r="AN36" s="329">
        <f t="shared" si="22"/>
        <v>40.87</v>
      </c>
    </row>
    <row r="37" spans="1:40" ht="17.4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</row>
    <row r="38" spans="1:40" ht="17.4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29"/>
      <c r="AC38" s="363"/>
      <c r="AD38" s="363"/>
      <c r="AE38" s="329"/>
      <c r="AF38" s="363"/>
      <c r="AG38" s="363"/>
      <c r="AH38" s="329"/>
      <c r="AI38" s="363"/>
      <c r="AJ38" s="363"/>
      <c r="AK38" s="329"/>
      <c r="AL38" s="329"/>
      <c r="AM38" s="329"/>
      <c r="AN38" s="329"/>
    </row>
    <row r="39" spans="1:40" ht="17.4">
      <c r="A39" s="364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</row>
    <row r="40" spans="1:40" ht="17.4">
      <c r="A40" s="365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</row>
    <row r="41" spans="1:40" ht="17.4">
      <c r="A41" s="364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</row>
    <row r="42" spans="1:40" ht="12.75">
      <c r="A42" s="366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</row>
    <row r="43" spans="1:40" ht="12.75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</row>
    <row r="44" spans="1:40" ht="12.75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</row>
    <row r="45" spans="1:40" ht="12.75">
      <c r="A45" s="366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</row>
    <row r="46" spans="1:40" ht="12.75">
      <c r="A46" s="366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</row>
    <row r="47" spans="2:40" ht="12.75"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</row>
    <row r="48" spans="2:40" ht="12.75"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</row>
  </sheetData>
  <mergeCells count="26">
    <mergeCell ref="B1:D1"/>
    <mergeCell ref="E1:G1"/>
    <mergeCell ref="H1:J1"/>
    <mergeCell ref="K1:M1"/>
    <mergeCell ref="N1:P1"/>
    <mergeCell ref="Q3:R3"/>
    <mergeCell ref="T3:U3"/>
    <mergeCell ref="W3:X3"/>
    <mergeCell ref="Z3:AA3"/>
    <mergeCell ref="T1:V1"/>
    <mergeCell ref="W1:Y1"/>
    <mergeCell ref="Z1:AB1"/>
    <mergeCell ref="Q1:S1"/>
    <mergeCell ref="B3:C3"/>
    <mergeCell ref="E3:F3"/>
    <mergeCell ref="H3:I3"/>
    <mergeCell ref="K3:L3"/>
    <mergeCell ref="N3:O3"/>
    <mergeCell ref="AC3:AD3"/>
    <mergeCell ref="AF3:AG3"/>
    <mergeCell ref="AI3:AJ3"/>
    <mergeCell ref="AL3:AM3"/>
    <mergeCell ref="AL1:AN1"/>
    <mergeCell ref="AC1:AE1"/>
    <mergeCell ref="AF1:AH1"/>
    <mergeCell ref="AI1:AK1"/>
  </mergeCells>
  <printOptions horizontalCentered="1"/>
  <pageMargins left="0.25" right="0.25" top="1.75" bottom="0.25" header="0.25" footer="0.25"/>
  <pageSetup fitToWidth="8" horizontalDpi="600" verticalDpi="600" orientation="landscape" scale="45" r:id="rId1"/>
  <headerFooter alignWithMargins="0">
    <oddHeader>&amp;C&amp;"Arial,Bold"&amp;18
BIG RIVERS ELECTRIC CORPORATION
SMELTER - JANUARY 2011 THROUGH MARCH 2011 ACTUAL</oddHeader>
  </headerFooter>
  <colBreaks count="6" manualBreakCount="6">
    <brk id="7" max="16383" man="1"/>
    <brk id="13" max="16383" man="1"/>
    <brk id="19" max="16383" man="1"/>
    <brk id="25" max="16383" man="1"/>
    <brk id="31" max="16383" man="1"/>
    <brk id="3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Hickman, Roger</dc:creator>
  <cp:keywords/>
  <dc:description/>
  <cp:lastModifiedBy>Hickman, Roger</cp:lastModifiedBy>
  <cp:lastPrinted>2013-05-09T21:57:58Z</cp:lastPrinted>
  <dcterms:created xsi:type="dcterms:W3CDTF">2007-11-29T16:43:57Z</dcterms:created>
  <dcterms:modified xsi:type="dcterms:W3CDTF">2019-09-19T14:03:08Z</dcterms:modified>
  <cp:category/>
  <cp:version/>
  <cp:contentType/>
  <cp:contentStatus/>
</cp:coreProperties>
</file>